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DEPS\ACTIVITE\Z-PUBLICATIONS 2007-2019\OBSERVATOIRE 2019\Observatoire 2019_BAT\"/>
    </mc:Choice>
  </mc:AlternateContent>
  <bookViews>
    <workbookView xWindow="0" yWindow="0" windowWidth="28800" windowHeight="11700" tabRatio="596" firstSheet="26" activeTab="26"/>
  </bookViews>
  <sheets>
    <sheet name="Tableau 1" sheetId="69" r:id="rId1"/>
    <sheet name="Tableau 2" sheetId="70" r:id="rId2"/>
    <sheet name="Tableau 3" sheetId="85" r:id="rId3"/>
    <sheet name="Tableau 4" sheetId="86" r:id="rId4"/>
    <sheet name="Tableau 5" sheetId="2" r:id="rId5"/>
    <sheet name="Tableau 6" sheetId="25" r:id="rId6"/>
    <sheet name="Tableau 7" sheetId="5" r:id="rId7"/>
    <sheet name="Tableau 8" sheetId="6" r:id="rId8"/>
    <sheet name="Tableau 9" sheetId="7" r:id="rId9"/>
    <sheet name="Tableau 10" sheetId="8" r:id="rId10"/>
    <sheet name="Tableau 11" sheetId="9" r:id="rId11"/>
    <sheet name="Tableau 12" sheetId="83" r:id="rId12"/>
    <sheet name="Tableau 13" sheetId="10" r:id="rId13"/>
    <sheet name="Tableau 14" sheetId="84" r:id="rId14"/>
    <sheet name="Tableau 15" sheetId="26" r:id="rId15"/>
    <sheet name="Tableau 16" sheetId="73" r:id="rId16"/>
    <sheet name="Tableau 17" sheetId="27" r:id="rId17"/>
    <sheet name="Tableau 18" sheetId="55" r:id="rId18"/>
    <sheet name="Tableau 19" sheetId="56" r:id="rId19"/>
    <sheet name="Tableau 20" sheetId="66" r:id="rId20"/>
    <sheet name="Tableau 21" sheetId="67" r:id="rId21"/>
    <sheet name="Tableau 22" sheetId="91" r:id="rId22"/>
    <sheet name="Tableau 23" sheetId="92" r:id="rId23"/>
    <sheet name="Tableau 24" sheetId="93" r:id="rId24"/>
    <sheet name="Tableau 25" sheetId="94" r:id="rId25"/>
    <sheet name="Tableau 26" sheetId="41" r:id="rId26"/>
    <sheet name="Tableau 27" sheetId="59" r:id="rId27"/>
    <sheet name="Tableau 28" sheetId="28" r:id="rId28"/>
    <sheet name="Tableau 29" sheetId="29" r:id="rId29"/>
    <sheet name="Tableau 30" sheetId="3" r:id="rId30"/>
    <sheet name="Tableau 31" sheetId="40" r:id="rId31"/>
    <sheet name="Tableau 32" sheetId="65" r:id="rId32"/>
    <sheet name="Tableau 33" sheetId="49" r:id="rId33"/>
    <sheet name="Tableau 34" sheetId="11" r:id="rId34"/>
    <sheet name="Tableau 35" sheetId="57" r:id="rId35"/>
    <sheet name="Tableau 35 bis" sheetId="58" r:id="rId36"/>
    <sheet name="Tableau 36" sheetId="74" r:id="rId37"/>
    <sheet name="Tableau 37" sheetId="75" r:id="rId38"/>
    <sheet name="Tableau 38" sheetId="51" r:id="rId39"/>
    <sheet name="Tableau 39" sheetId="62" r:id="rId40"/>
    <sheet name="Tableau 40" sheetId="63" r:id="rId41"/>
    <sheet name="Tableau 41" sheetId="64" r:id="rId42"/>
    <sheet name="Tableau 42" sheetId="4" r:id="rId43"/>
    <sheet name="Tableau 43" sheetId="76" r:id="rId44"/>
    <sheet name="Tableau 44" sheetId="77" r:id="rId45"/>
    <sheet name="Tableau 46" sheetId="19" r:id="rId46"/>
    <sheet name="Tableau 47" sheetId="68" r:id="rId47"/>
    <sheet name="Tableau 48" sheetId="30" r:id="rId48"/>
    <sheet name="Tableau 49" sheetId="31" r:id="rId49"/>
    <sheet name="Tableau 50" sheetId="32" r:id="rId50"/>
    <sheet name="Tableau 51" sheetId="33" r:id="rId51"/>
    <sheet name="Tableau 52" sheetId="34" r:id="rId52"/>
    <sheet name="Tableau 53" sheetId="35" r:id="rId53"/>
    <sheet name="Tableau 54" sheetId="36" r:id="rId54"/>
    <sheet name="Tableau 55" sheetId="37" r:id="rId55"/>
    <sheet name="Tableau 56" sheetId="38" r:id="rId56"/>
    <sheet name="Tableau 57" sheetId="13" r:id="rId57"/>
    <sheet name="Tableau 58" sheetId="21" r:id="rId58"/>
    <sheet name="Tableau 59" sheetId="14" r:id="rId59"/>
    <sheet name="Tableau 60" sheetId="81" r:id="rId60"/>
    <sheet name="Tableau 61" sheetId="79" r:id="rId61"/>
    <sheet name="Tableau 62" sheetId="22" r:id="rId62"/>
    <sheet name="Tableau 63" sheetId="82" r:id="rId63"/>
    <sheet name="Tableau 64" sheetId="12" r:id="rId64"/>
    <sheet name="Tableau 65" sheetId="24" r:id="rId65"/>
    <sheet name="Tableau 66" sheetId="42" r:id="rId66"/>
    <sheet name="Tableau_67" sheetId="39" r:id="rId67"/>
    <sheet name="Tableau 68" sheetId="17" r:id="rId68"/>
    <sheet name="Tableau 69" sheetId="18" r:id="rId69"/>
    <sheet name="Tableau 70" sheetId="80" r:id="rId70"/>
    <sheet name="Tableau 71" sheetId="23" r:id="rId71"/>
  </sheets>
  <definedNames>
    <definedName name="_xlnm.Print_Area" localSheetId="40">'Tableau 40'!$A$1:$J$14</definedName>
    <definedName name="_xlnm.Print_Area" localSheetId="41">'Tableau 41'!$A$1:$T$15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86" l="1"/>
  <c r="E11" i="86"/>
  <c r="D9" i="86"/>
  <c r="E9" i="86"/>
  <c r="D7" i="86"/>
  <c r="E7" i="86"/>
  <c r="D6" i="86"/>
  <c r="E6" i="86"/>
  <c r="C10" i="85"/>
  <c r="B10" i="85"/>
  <c r="E9" i="85"/>
  <c r="D9" i="85"/>
  <c r="E8" i="85"/>
  <c r="D8" i="85"/>
  <c r="E7" i="85"/>
  <c r="D7" i="85"/>
  <c r="E6" i="85"/>
  <c r="D6" i="85"/>
  <c r="D10" i="85"/>
  <c r="E10" i="85"/>
  <c r="D10" i="83"/>
  <c r="C10" i="83"/>
  <c r="B10" i="83"/>
  <c r="E9" i="83"/>
  <c r="F9" i="83"/>
  <c r="E8" i="83"/>
  <c r="F8" i="83"/>
  <c r="E7" i="83"/>
  <c r="F7" i="83"/>
  <c r="E6" i="83"/>
  <c r="E10" i="83"/>
  <c r="F10" i="83"/>
  <c r="F6" i="83"/>
  <c r="C20" i="69"/>
  <c r="D20" i="69"/>
  <c r="B20" i="69"/>
  <c r="E20" i="69"/>
  <c r="F12" i="75"/>
  <c r="F11" i="75"/>
  <c r="F10" i="75"/>
  <c r="F9" i="75"/>
  <c r="F8" i="75"/>
  <c r="F7" i="75"/>
  <c r="F6" i="75"/>
  <c r="F5" i="75"/>
  <c r="E7" i="73"/>
  <c r="E6" i="73"/>
  <c r="E5" i="73"/>
  <c r="J6" i="57"/>
  <c r="J7" i="57"/>
  <c r="J8" i="57"/>
  <c r="J9" i="57"/>
  <c r="J10" i="57"/>
  <c r="J5" i="57"/>
  <c r="F11" i="11"/>
  <c r="G11" i="11"/>
  <c r="D11" i="11"/>
  <c r="E11" i="11"/>
  <c r="C11" i="11"/>
  <c r="B11" i="11"/>
  <c r="M5" i="70"/>
  <c r="E5" i="70"/>
  <c r="G20" i="69"/>
  <c r="I20" i="69"/>
  <c r="F20" i="69"/>
  <c r="H20" i="69"/>
  <c r="I19" i="69"/>
  <c r="E19" i="69"/>
  <c r="I18" i="69"/>
  <c r="E18" i="69"/>
  <c r="I17" i="69"/>
  <c r="E17" i="69"/>
  <c r="I16" i="69"/>
  <c r="E16" i="69"/>
  <c r="G14" i="69"/>
  <c r="F14" i="69"/>
  <c r="I13" i="69"/>
  <c r="H13" i="69"/>
  <c r="I12" i="69"/>
  <c r="H12" i="69"/>
  <c r="I11" i="69"/>
  <c r="H11" i="69"/>
  <c r="E11" i="69"/>
  <c r="I10" i="69"/>
  <c r="H10" i="69"/>
  <c r="H14" i="69"/>
  <c r="E10" i="69"/>
  <c r="G8" i="69"/>
  <c r="I8" i="69"/>
  <c r="F8" i="69"/>
  <c r="E8" i="69"/>
  <c r="I7" i="69"/>
  <c r="H7" i="69"/>
  <c r="E7" i="69"/>
  <c r="I6" i="69"/>
  <c r="H6" i="69"/>
  <c r="E6" i="69"/>
  <c r="H8" i="69"/>
  <c r="L10" i="67"/>
  <c r="F10" i="67"/>
  <c r="B10" i="67"/>
  <c r="J10" i="67"/>
  <c r="L9" i="67"/>
  <c r="J9" i="67"/>
  <c r="L8" i="67"/>
  <c r="J8" i="67"/>
  <c r="L7" i="67"/>
  <c r="J7" i="67"/>
  <c r="L6" i="67"/>
  <c r="J6" i="67"/>
  <c r="L5" i="67"/>
  <c r="J5" i="67"/>
  <c r="K44" i="66"/>
  <c r="D44" i="66"/>
  <c r="K43" i="66"/>
  <c r="D43" i="66"/>
  <c r="K42" i="66"/>
  <c r="D42" i="66"/>
  <c r="M37" i="66"/>
  <c r="J37" i="66"/>
  <c r="I37" i="66"/>
  <c r="M35" i="66"/>
  <c r="J35" i="66"/>
  <c r="I35" i="66"/>
  <c r="M34" i="66"/>
  <c r="J34" i="66"/>
  <c r="I34" i="66"/>
  <c r="M33" i="66"/>
  <c r="J33" i="66"/>
  <c r="I33" i="66"/>
  <c r="M31" i="66"/>
  <c r="J31" i="66"/>
  <c r="I31" i="66"/>
  <c r="M30" i="66"/>
  <c r="J30" i="66"/>
  <c r="I30" i="66"/>
  <c r="M29" i="66"/>
  <c r="J29" i="66"/>
  <c r="I29" i="66"/>
  <c r="M27" i="66"/>
  <c r="J27" i="66"/>
  <c r="I27" i="66"/>
  <c r="M26" i="66"/>
  <c r="J26" i="66"/>
  <c r="I26" i="66"/>
  <c r="M25" i="66"/>
  <c r="J25" i="66"/>
  <c r="I25" i="66"/>
  <c r="M24" i="66"/>
  <c r="J24" i="66"/>
  <c r="I24" i="66"/>
  <c r="M23" i="66"/>
  <c r="J23" i="66"/>
  <c r="I23" i="66"/>
  <c r="M22" i="66"/>
  <c r="J22" i="66"/>
  <c r="I22" i="66"/>
  <c r="M21" i="66"/>
  <c r="J21" i="66"/>
  <c r="I21" i="66"/>
  <c r="M20" i="66"/>
  <c r="J20" i="66"/>
  <c r="I20" i="66"/>
  <c r="M19" i="66"/>
  <c r="J19" i="66"/>
  <c r="I19" i="66"/>
  <c r="M18" i="66"/>
  <c r="J18" i="66"/>
  <c r="I18" i="66"/>
  <c r="M17" i="66"/>
  <c r="J17" i="66"/>
  <c r="I17" i="66"/>
  <c r="M16" i="66"/>
  <c r="J16" i="66"/>
  <c r="I16" i="66"/>
  <c r="M15" i="66"/>
  <c r="J15" i="66"/>
  <c r="I15" i="66"/>
  <c r="M13" i="66"/>
  <c r="G44" i="66"/>
  <c r="J13" i="66"/>
  <c r="I13" i="66"/>
  <c r="M12" i="66"/>
  <c r="G43" i="66"/>
  <c r="J12" i="66"/>
  <c r="I12" i="66"/>
  <c r="M11" i="66"/>
  <c r="J11" i="66"/>
  <c r="I11" i="66"/>
  <c r="M10" i="66"/>
  <c r="J10" i="66"/>
  <c r="I10" i="66"/>
  <c r="M9" i="66"/>
  <c r="I9" i="66"/>
  <c r="M8" i="66"/>
  <c r="J8" i="66"/>
  <c r="I8" i="66"/>
  <c r="M7" i="66"/>
  <c r="J7" i="66"/>
  <c r="I7" i="66"/>
  <c r="M6" i="66"/>
  <c r="G42" i="66"/>
  <c r="J6" i="66"/>
  <c r="I6" i="66"/>
  <c r="J42" i="66"/>
  <c r="J43" i="66"/>
  <c r="J44" i="66"/>
  <c r="K12" i="64"/>
  <c r="F12" i="64"/>
  <c r="K11" i="64"/>
  <c r="F11" i="64"/>
  <c r="K10" i="64"/>
  <c r="F10" i="64"/>
  <c r="K8" i="64"/>
  <c r="F8" i="64"/>
  <c r="K7" i="64"/>
  <c r="F7" i="64"/>
  <c r="K6" i="64"/>
  <c r="F6" i="64"/>
  <c r="B17" i="59"/>
  <c r="E10" i="23"/>
  <c r="E7" i="23"/>
  <c r="F10" i="57"/>
  <c r="D10" i="57"/>
  <c r="B10" i="57"/>
  <c r="C22" i="56"/>
  <c r="B22" i="56"/>
  <c r="D21" i="56"/>
  <c r="F21" i="56"/>
  <c r="D20" i="56"/>
  <c r="F20" i="56"/>
  <c r="D19" i="56"/>
  <c r="E19" i="56"/>
  <c r="F18" i="56"/>
  <c r="E18" i="56"/>
  <c r="D18" i="56"/>
  <c r="D17" i="56"/>
  <c r="F17" i="56"/>
  <c r="D16" i="56"/>
  <c r="F16" i="56"/>
  <c r="D15" i="56"/>
  <c r="E15" i="56"/>
  <c r="F14" i="56"/>
  <c r="E14" i="56"/>
  <c r="D14" i="56"/>
  <c r="D13" i="56"/>
  <c r="F13" i="56"/>
  <c r="D12" i="56"/>
  <c r="F12" i="56"/>
  <c r="D11" i="56"/>
  <c r="E11" i="56"/>
  <c r="F10" i="56"/>
  <c r="E10" i="56"/>
  <c r="D10" i="56"/>
  <c r="D9" i="56"/>
  <c r="F9" i="56"/>
  <c r="D8" i="56"/>
  <c r="F8" i="56"/>
  <c r="D7" i="56"/>
  <c r="E7" i="56"/>
  <c r="F6" i="56"/>
  <c r="E6" i="56"/>
  <c r="D6" i="56"/>
  <c r="D5" i="56"/>
  <c r="F5" i="56"/>
  <c r="D4" i="56"/>
  <c r="F4" i="56"/>
  <c r="C7" i="55"/>
  <c r="B7" i="55"/>
  <c r="D6" i="55"/>
  <c r="F6" i="55"/>
  <c r="F5" i="55"/>
  <c r="D5" i="55"/>
  <c r="E5" i="55"/>
  <c r="E5" i="56"/>
  <c r="E9" i="56"/>
  <c r="E13" i="56"/>
  <c r="E17" i="56"/>
  <c r="E21" i="56"/>
  <c r="D7" i="55"/>
  <c r="F7" i="55"/>
  <c r="E7" i="55"/>
  <c r="F7" i="56"/>
  <c r="F11" i="56"/>
  <c r="F15" i="56"/>
  <c r="F19" i="56"/>
  <c r="D22" i="56"/>
  <c r="E22" i="56"/>
  <c r="E6" i="55"/>
  <c r="E4" i="56"/>
  <c r="E8" i="56"/>
  <c r="E12" i="56"/>
  <c r="E16" i="56"/>
  <c r="E20" i="56"/>
  <c r="F22" i="56"/>
  <c r="G9" i="51"/>
  <c r="F9" i="51"/>
  <c r="E9" i="51"/>
  <c r="D9" i="51"/>
  <c r="C9" i="51"/>
  <c r="B9" i="51"/>
  <c r="H8" i="51"/>
  <c r="H9" i="51"/>
  <c r="D8" i="51"/>
  <c r="G7" i="51"/>
  <c r="F7" i="51"/>
  <c r="E7" i="51"/>
  <c r="D7" i="51"/>
  <c r="C7" i="51"/>
  <c r="B7" i="51"/>
  <c r="H6" i="51"/>
  <c r="H16" i="51"/>
  <c r="G5" i="51"/>
  <c r="F5" i="51"/>
  <c r="E5" i="51"/>
  <c r="D5" i="51"/>
  <c r="C5" i="51"/>
  <c r="B5" i="51"/>
  <c r="H4" i="51"/>
  <c r="H5" i="51"/>
  <c r="B11" i="49"/>
  <c r="H13" i="51"/>
  <c r="H17" i="51"/>
  <c r="H7" i="51"/>
  <c r="H14" i="51"/>
  <c r="H15" i="51"/>
  <c r="H12" i="51"/>
  <c r="E11" i="42"/>
  <c r="B11" i="42"/>
  <c r="L13" i="41"/>
  <c r="K13" i="41"/>
  <c r="D13" i="41"/>
  <c r="C13" i="41"/>
  <c r="M12" i="41"/>
  <c r="N12" i="41"/>
  <c r="E12" i="41"/>
  <c r="F12" i="41"/>
  <c r="M11" i="41"/>
  <c r="N11" i="41"/>
  <c r="E11" i="41"/>
  <c r="F11" i="41"/>
  <c r="M10" i="41"/>
  <c r="N10" i="41"/>
  <c r="E10" i="41"/>
  <c r="F10" i="41"/>
  <c r="L9" i="41"/>
  <c r="L15" i="41"/>
  <c r="K9" i="41"/>
  <c r="D9" i="41"/>
  <c r="D15" i="41"/>
  <c r="C9" i="41"/>
  <c r="M8" i="41"/>
  <c r="E8" i="41"/>
  <c r="M7" i="41"/>
  <c r="N7" i="41"/>
  <c r="F7" i="41"/>
  <c r="E7" i="41"/>
  <c r="G7" i="41"/>
  <c r="N6" i="41"/>
  <c r="M6" i="41"/>
  <c r="F6" i="41"/>
  <c r="E6" i="41"/>
  <c r="E9" i="41"/>
  <c r="M9" i="41"/>
  <c r="E13" i="41"/>
  <c r="F13" i="41"/>
  <c r="M13" i="41"/>
  <c r="N13" i="41"/>
  <c r="C15" i="41"/>
  <c r="K15" i="41"/>
  <c r="F15" i="41"/>
  <c r="E15" i="41"/>
  <c r="F9" i="41"/>
  <c r="M15" i="41"/>
  <c r="N15" i="41"/>
  <c r="N9" i="41"/>
  <c r="C14" i="40"/>
  <c r="B14" i="40"/>
  <c r="H13" i="40"/>
  <c r="H14" i="40"/>
  <c r="G13" i="40"/>
  <c r="F13" i="40"/>
  <c r="I13" i="40"/>
  <c r="D13" i="40"/>
  <c r="E13" i="40"/>
  <c r="I12" i="40"/>
  <c r="D12" i="40"/>
  <c r="E12" i="40"/>
  <c r="I11" i="40"/>
  <c r="E11" i="40"/>
  <c r="D11" i="40"/>
  <c r="G10" i="40"/>
  <c r="F10" i="40"/>
  <c r="D10" i="40"/>
  <c r="E10" i="40"/>
  <c r="I9" i="40"/>
  <c r="E9" i="40"/>
  <c r="D9" i="40"/>
  <c r="I7" i="40"/>
  <c r="H7" i="40"/>
  <c r="E7" i="40"/>
  <c r="D7" i="40"/>
  <c r="I6" i="40"/>
  <c r="H6" i="40"/>
  <c r="E6" i="40"/>
  <c r="D6" i="40"/>
  <c r="D14" i="40"/>
  <c r="E14" i="40"/>
  <c r="F14" i="40"/>
  <c r="I14" i="40"/>
  <c r="G14" i="40"/>
  <c r="I10" i="40"/>
  <c r="J9" i="39"/>
  <c r="D9" i="39"/>
  <c r="E9" i="39"/>
  <c r="J8" i="39"/>
  <c r="D8" i="39"/>
  <c r="E8" i="39"/>
  <c r="J7" i="39"/>
  <c r="D7" i="39"/>
  <c r="E7" i="39"/>
  <c r="J5" i="39"/>
  <c r="E5" i="39"/>
  <c r="L9" i="38"/>
  <c r="M9" i="38"/>
  <c r="H9" i="38"/>
  <c r="I9" i="38"/>
  <c r="D9" i="38"/>
  <c r="E9" i="38"/>
  <c r="K8" i="38"/>
  <c r="L8" i="38"/>
  <c r="J8" i="38"/>
  <c r="M8" i="38"/>
  <c r="G8" i="38"/>
  <c r="F8" i="38"/>
  <c r="C8" i="38"/>
  <c r="B8" i="38"/>
  <c r="N7" i="37"/>
  <c r="M7" i="37"/>
  <c r="M8" i="37"/>
  <c r="N6" i="37"/>
  <c r="N8" i="37"/>
  <c r="N5" i="37"/>
  <c r="E7" i="36"/>
  <c r="E6" i="36"/>
  <c r="E5" i="36"/>
  <c r="E17" i="35"/>
  <c r="D17" i="35"/>
  <c r="C17" i="35"/>
  <c r="B17" i="35"/>
  <c r="F16" i="35"/>
  <c r="F17" i="35"/>
  <c r="F14" i="35"/>
  <c r="E14" i="35"/>
  <c r="D14" i="35"/>
  <c r="C14" i="35"/>
  <c r="B14" i="35"/>
  <c r="F10" i="35"/>
  <c r="E10" i="35"/>
  <c r="D10" i="35"/>
  <c r="C10" i="35"/>
  <c r="B10" i="35"/>
  <c r="F7" i="35"/>
  <c r="E7" i="35"/>
  <c r="D7" i="35"/>
  <c r="C7" i="35"/>
  <c r="B7" i="35"/>
  <c r="E20" i="34"/>
  <c r="D20" i="34"/>
  <c r="C20" i="34"/>
  <c r="B20" i="34"/>
  <c r="F19" i="34"/>
  <c r="F20" i="34"/>
  <c r="F18" i="34"/>
  <c r="F17" i="34"/>
  <c r="E15" i="34"/>
  <c r="D15" i="34"/>
  <c r="F14" i="34"/>
  <c r="F13" i="34"/>
  <c r="F15" i="34"/>
  <c r="F12" i="34"/>
  <c r="F11" i="34"/>
  <c r="E9" i="34"/>
  <c r="D9" i="34"/>
  <c r="C9" i="34"/>
  <c r="B9" i="34"/>
  <c r="F8" i="34"/>
  <c r="F7" i="34"/>
  <c r="F9" i="34"/>
  <c r="F6" i="34"/>
  <c r="F5" i="34"/>
  <c r="E6" i="33"/>
  <c r="E5" i="33"/>
  <c r="E4" i="33"/>
  <c r="F19" i="32"/>
  <c r="E19" i="32"/>
  <c r="D19" i="32"/>
  <c r="C19" i="32"/>
  <c r="B19" i="32"/>
  <c r="G18" i="32"/>
  <c r="G19" i="32"/>
  <c r="G17" i="32"/>
  <c r="F15" i="32"/>
  <c r="E15" i="32"/>
  <c r="D15" i="32"/>
  <c r="C15" i="32"/>
  <c r="B15" i="32"/>
  <c r="G14" i="32"/>
  <c r="G15" i="32"/>
  <c r="G13" i="32"/>
  <c r="G11" i="32"/>
  <c r="F11" i="32"/>
  <c r="E11" i="32"/>
  <c r="D11" i="32"/>
  <c r="C11" i="32"/>
  <c r="B11" i="32"/>
  <c r="G10" i="32"/>
  <c r="G9" i="32"/>
  <c r="F7" i="32"/>
  <c r="E7" i="32"/>
  <c r="D7" i="32"/>
  <c r="C7" i="32"/>
  <c r="B7" i="32"/>
  <c r="G6" i="32"/>
  <c r="G7" i="32"/>
  <c r="G5" i="32"/>
  <c r="F24" i="31"/>
  <c r="E24" i="31"/>
  <c r="D24" i="31"/>
  <c r="C24" i="31"/>
  <c r="B24" i="31"/>
  <c r="G23" i="31"/>
  <c r="G24" i="31"/>
  <c r="G22" i="31"/>
  <c r="F21" i="31"/>
  <c r="E21" i="31"/>
  <c r="D21" i="31"/>
  <c r="C21" i="31"/>
  <c r="B21" i="31"/>
  <c r="G20" i="31"/>
  <c r="G21" i="31"/>
  <c r="G19" i="31"/>
  <c r="F17" i="31"/>
  <c r="E17" i="31"/>
  <c r="D17" i="31"/>
  <c r="C17" i="31"/>
  <c r="B17" i="31"/>
  <c r="G16" i="31"/>
  <c r="G17" i="31"/>
  <c r="G15" i="31"/>
  <c r="F14" i="31"/>
  <c r="E14" i="31"/>
  <c r="D14" i="31"/>
  <c r="C14" i="31"/>
  <c r="B14" i="31"/>
  <c r="G13" i="31"/>
  <c r="G14" i="31"/>
  <c r="G12" i="31"/>
  <c r="F10" i="31"/>
  <c r="E10" i="31"/>
  <c r="D10" i="31"/>
  <c r="C10" i="31"/>
  <c r="B10" i="31"/>
  <c r="G9" i="31"/>
  <c r="G10" i="31"/>
  <c r="G8" i="31"/>
  <c r="F7" i="31"/>
  <c r="E7" i="31"/>
  <c r="D7" i="31"/>
  <c r="C7" i="31"/>
  <c r="B7" i="31"/>
  <c r="G6" i="31"/>
  <c r="G7" i="31"/>
  <c r="G5" i="31"/>
  <c r="E14" i="30"/>
  <c r="F14" i="30"/>
  <c r="E13" i="30"/>
  <c r="F13" i="30"/>
  <c r="E12" i="30"/>
  <c r="F12" i="30"/>
  <c r="E11" i="30"/>
  <c r="F11" i="30"/>
  <c r="E10" i="30"/>
  <c r="F10" i="30"/>
  <c r="E9" i="30"/>
  <c r="F9" i="30"/>
  <c r="E8" i="30"/>
  <c r="F8" i="30"/>
  <c r="E7" i="30"/>
  <c r="F7" i="30"/>
  <c r="E6" i="30"/>
  <c r="F6" i="30"/>
  <c r="E5" i="30"/>
  <c r="F5" i="30"/>
  <c r="D8" i="38"/>
  <c r="E8" i="38"/>
  <c r="H8" i="38"/>
  <c r="I8" i="38"/>
  <c r="E10" i="29"/>
  <c r="B10" i="29"/>
  <c r="E9" i="29"/>
  <c r="B9" i="29"/>
  <c r="E8" i="29"/>
  <c r="B8" i="29"/>
  <c r="E7" i="29"/>
  <c r="B7" i="29"/>
  <c r="E5" i="29"/>
  <c r="E11" i="28"/>
  <c r="D11" i="28"/>
  <c r="C11" i="28"/>
  <c r="B11" i="28"/>
  <c r="E10" i="28"/>
  <c r="E9" i="28"/>
  <c r="E8" i="28"/>
  <c r="E7" i="28"/>
  <c r="E6" i="28"/>
  <c r="C20" i="27"/>
  <c r="B20" i="27"/>
  <c r="D19" i="25"/>
  <c r="D20" i="25"/>
  <c r="C19" i="25"/>
  <c r="C20" i="25"/>
  <c r="B19" i="25"/>
  <c r="E19" i="25"/>
  <c r="E16" i="25"/>
  <c r="B20" i="25"/>
  <c r="E20" i="25"/>
  <c r="E32" i="21"/>
  <c r="C30" i="21"/>
  <c r="B30" i="21"/>
  <c r="D29" i="21"/>
  <c r="E29" i="21"/>
  <c r="D28" i="21"/>
  <c r="E28" i="21"/>
  <c r="D27" i="21"/>
  <c r="E27" i="21"/>
  <c r="D26" i="21"/>
  <c r="E26" i="21"/>
  <c r="D25" i="21"/>
  <c r="E25" i="21"/>
  <c r="D24" i="21"/>
  <c r="E24" i="21"/>
  <c r="C21" i="21"/>
  <c r="C22" i="21"/>
  <c r="C9" i="21"/>
  <c r="C33" i="21"/>
  <c r="B21" i="21"/>
  <c r="D20" i="21"/>
  <c r="E20" i="21"/>
  <c r="D19" i="21"/>
  <c r="E19" i="21"/>
  <c r="D18" i="21"/>
  <c r="E18" i="21"/>
  <c r="D17" i="21"/>
  <c r="E17" i="21"/>
  <c r="D16" i="21"/>
  <c r="E16" i="21"/>
  <c r="D15" i="21"/>
  <c r="E15" i="21"/>
  <c r="D14" i="21"/>
  <c r="E14" i="21"/>
  <c r="D13" i="21"/>
  <c r="E13" i="21"/>
  <c r="D12" i="21"/>
  <c r="E12" i="21"/>
  <c r="D11" i="21"/>
  <c r="E11" i="21"/>
  <c r="B9" i="21"/>
  <c r="D8" i="21"/>
  <c r="E8" i="21"/>
  <c r="D7" i="21"/>
  <c r="E7" i="21"/>
  <c r="D6" i="21"/>
  <c r="E6" i="21"/>
  <c r="D5" i="21"/>
  <c r="E5" i="21"/>
  <c r="B22" i="21"/>
  <c r="B33" i="21"/>
  <c r="D30" i="21"/>
  <c r="E30" i="21"/>
  <c r="D9" i="21"/>
  <c r="D21" i="21"/>
  <c r="E21" i="21"/>
  <c r="D22" i="21"/>
  <c r="E9" i="21"/>
  <c r="E22" i="21"/>
  <c r="D33" i="21"/>
  <c r="E33" i="21"/>
  <c r="C18" i="10"/>
  <c r="B18" i="10"/>
  <c r="D17" i="10"/>
  <c r="E17" i="10"/>
  <c r="E16" i="10"/>
  <c r="D16" i="10"/>
  <c r="D15" i="10"/>
  <c r="E15" i="10"/>
  <c r="D14" i="10"/>
  <c r="E13" i="10"/>
  <c r="D13" i="10"/>
  <c r="D18" i="10"/>
  <c r="D11" i="10"/>
  <c r="C11" i="10"/>
  <c r="B11" i="10"/>
  <c r="E11" i="10"/>
  <c r="D10" i="10"/>
  <c r="E10" i="10"/>
  <c r="E9" i="10"/>
  <c r="D9" i="10"/>
  <c r="D8" i="10"/>
  <c r="E8" i="10"/>
  <c r="E7" i="10"/>
  <c r="D7" i="10"/>
  <c r="D6" i="10"/>
  <c r="E6" i="10"/>
  <c r="D8" i="9"/>
  <c r="E8" i="9"/>
  <c r="D7" i="9"/>
  <c r="E7" i="9"/>
  <c r="D6" i="9"/>
  <c r="E6" i="9"/>
  <c r="D5" i="9"/>
  <c r="E5" i="9"/>
  <c r="E14" i="8"/>
  <c r="E13" i="8"/>
  <c r="E12" i="8"/>
  <c r="E11" i="8"/>
  <c r="E10" i="8"/>
  <c r="E9" i="8"/>
  <c r="E8" i="8"/>
  <c r="E7" i="8"/>
  <c r="E5" i="8"/>
  <c r="D7" i="7"/>
  <c r="E7" i="7"/>
  <c r="E6" i="7"/>
  <c r="D6" i="7"/>
  <c r="D5" i="7"/>
  <c r="E5" i="7"/>
  <c r="D9" i="6"/>
  <c r="E9" i="6"/>
  <c r="E8" i="6"/>
  <c r="D8" i="6"/>
  <c r="D7" i="6"/>
  <c r="E7" i="6"/>
  <c r="E6" i="6"/>
  <c r="D6" i="6"/>
  <c r="D5" i="6"/>
  <c r="E5" i="6"/>
  <c r="C10" i="5"/>
  <c r="D10" i="5"/>
  <c r="E10" i="5"/>
  <c r="B10" i="5"/>
  <c r="E18" i="10"/>
  <c r="L5" i="3"/>
  <c r="M5" i="3"/>
  <c r="D5" i="3"/>
  <c r="E5" i="3"/>
  <c r="L6" i="2"/>
  <c r="M6" i="2"/>
  <c r="L5" i="2"/>
  <c r="M5" i="2"/>
</calcChain>
</file>

<file path=xl/sharedStrings.xml><?xml version="1.0" encoding="utf-8"?>
<sst xmlns="http://schemas.openxmlformats.org/spreadsheetml/2006/main" count="1783" uniqueCount="960">
  <si>
    <t>Tableau 5 - Part des femmes à la direction des Musées nationaux, 2014-2018</t>
  </si>
  <si>
    <t>Au 1er janvier 2016</t>
  </si>
  <si>
    <t>Au 1er janvier 2017</t>
  </si>
  <si>
    <t>Au 1er janvier 2018</t>
  </si>
  <si>
    <t>Femmes</t>
  </si>
  <si>
    <t>Hommes</t>
  </si>
  <si>
    <t>Total</t>
  </si>
  <si>
    <t>Part des femmes</t>
  </si>
  <si>
    <t>total</t>
  </si>
  <si>
    <t>part des femmes</t>
  </si>
  <si>
    <t>femmes</t>
  </si>
  <si>
    <t xml:space="preserve">hommes </t>
  </si>
  <si>
    <t>Direction de l'établissement*</t>
  </si>
  <si>
    <t>Direction du Musée national**</t>
  </si>
  <si>
    <t>(*) : l'établissement est la structure juridique ou administrative (établissement public ou service à compténece nationale), il peut réunir plusieurs musées nationaux. L'établissement public du Louvre regroupe par exemple le Musée du Louvre et le musée Eugène Delacroix.</t>
  </si>
  <si>
    <t>(**) : il y a 32 musées nationaux ne relevant du Ministère de la Culture et de la Communication qui ont actuellement un directeur général nommé. Ces musées peuvent être autonomes, ou dépendre d'un EP ou d'un SCN. Ces 32 musées nationaux ne représentent pas l'ensemble des musées nationaux relevant du Ministère de la Culture et de la Communication, seulement ceux qui ont un responsable désigné</t>
  </si>
  <si>
    <t>Note : dernière données disponibles</t>
  </si>
  <si>
    <t>Au 1er janvier 2019</t>
  </si>
  <si>
    <t>Musées de France accueillant le plus de visisteurs (30 établissements)</t>
  </si>
  <si>
    <t>Hors Musées nationaux</t>
  </si>
  <si>
    <t>Note :  dernières données disponibles</t>
  </si>
  <si>
    <t xml:space="preserve">Jusqu'en 2017 le classement des 30 musées de France les plus fréquentés (hors musées nationaux) était fournie par le Journal des Arts. </t>
  </si>
  <si>
    <t>C'est sur la base de cette liste que la part des femmes dirigeantes était ensuite recherchée.</t>
  </si>
  <si>
    <t>Les chiffres fournis au 1er janvier 2019 pour l'année 2018 sont ceux fournis par l'enquête "Muséofile" du service des musée de France, qui intègre directement cette question.</t>
  </si>
  <si>
    <t>Tableau 42 - Part des femmes parmi les commissaires d'expositions de quelques grandes expositions, 2013-2018</t>
  </si>
  <si>
    <t>Nombre de commissaires d'exposition</t>
  </si>
  <si>
    <t>Nombre d'expositions en 2018</t>
  </si>
  <si>
    <t>Nombre d'expositions en 2017</t>
  </si>
  <si>
    <t>Nombre d'expositions en 2016</t>
  </si>
  <si>
    <t>Type d'expositions</t>
  </si>
  <si>
    <t>Expositions « d'intérêt national »</t>
  </si>
  <si>
    <t>Réunion des musées nationaux et du Grand Palais des Champ-Elysées (RMNGP)</t>
  </si>
  <si>
    <t>Note : dernières données disponibles</t>
  </si>
  <si>
    <t>France Télévisions (président.e-directeur.rice général.e)</t>
  </si>
  <si>
    <t>Radio France (président.e-directeur.rice général.e)</t>
  </si>
  <si>
    <t>Arte France (président.e du directoire)</t>
  </si>
  <si>
    <t>France Médias Monde  (président.e-directeur.rice général.e)</t>
  </si>
  <si>
    <t>INA (président.e-directeur.rice général.e)</t>
  </si>
  <si>
    <t>France Télévisions (1)</t>
  </si>
  <si>
    <t>nd</t>
  </si>
  <si>
    <t>Radio France (2)</t>
  </si>
  <si>
    <t>Arte France (3)</t>
  </si>
  <si>
    <t>France Médias Monde (4)</t>
  </si>
  <si>
    <t>INA (1)</t>
  </si>
  <si>
    <t>France Médias Monde (3)</t>
  </si>
  <si>
    <t>Directeur.rice régional.e (1)</t>
  </si>
  <si>
    <t>5 </t>
  </si>
  <si>
    <t>Délégué.e régional.e</t>
  </si>
  <si>
    <t>Dont délégué.e régional.eà l’antenne et aux programmes</t>
  </si>
  <si>
    <t> 4</t>
  </si>
  <si>
    <t>Dont délégué.e régional.eà la communication</t>
  </si>
  <si>
    <t>11 </t>
  </si>
  <si>
    <t>Dont délégué.e régional.eau numérique</t>
  </si>
  <si>
    <t>4 </t>
  </si>
  <si>
    <t>Rédacteur.rice en chef</t>
  </si>
  <si>
    <t>7 </t>
  </si>
  <si>
    <t>Chef.fe de centre</t>
  </si>
  <si>
    <t>Administrateur.rice de production</t>
  </si>
  <si>
    <t> 6</t>
  </si>
  <si>
    <t>Responsable finances</t>
  </si>
  <si>
    <t>/</t>
  </si>
  <si>
    <t>Responsable ressources humaines</t>
  </si>
  <si>
    <t> 14</t>
  </si>
  <si>
    <t>(1) Le réseau régional de France 3 a connu une réorganisation au premier janvier 2017. Dans ce cadre, 13 postes de directeur régional se sont substitués aux 5 postes de  directeur de pôles. Par ailleurs, les attributions des délégués régionaux ont fait l’objet d’un spécialisation (communication, numérique et l’antenne et programmes).</t>
  </si>
  <si>
    <t xml:space="preserve">(2)  En 2018, ont été ajoutés au périmètre mesuré les postes d'administrateur de production, de responsable des finances et de responsable des ressources humaines qui siègent aux comités de direction des antennes régionales de France 3. </t>
  </si>
  <si>
    <t>Directeur.rice de station</t>
  </si>
  <si>
    <t>Responsable des programmes</t>
  </si>
  <si>
    <t>Responsable techniques</t>
  </si>
  <si>
    <t xml:space="preserve">NB : Quelques emplois sont actuellement vacants :
4 postes de directeur-trice
3 postes de responsable des programmes 
3 postes de responsable technique
</t>
  </si>
  <si>
    <t>Tableau 13 - Composition des conseils d’administration dans les entreprises de l’audiovisuel public, 2013-2019</t>
  </si>
  <si>
    <t>Conseil d'administration</t>
  </si>
  <si>
    <t>France Télévisions</t>
  </si>
  <si>
    <t>Arte France (1)</t>
  </si>
  <si>
    <t>Radio France</t>
  </si>
  <si>
    <t>INA</t>
  </si>
  <si>
    <t>France Médias Monde</t>
  </si>
  <si>
    <t>Ensemble de l'audiovisuel public</t>
  </si>
  <si>
    <t>Dont : personnalités indépendantes</t>
  </si>
  <si>
    <t>Arte France (conseil de surveillance)</t>
  </si>
  <si>
    <t>-</t>
  </si>
  <si>
    <t>(1) : le périmètre retenu est celui du conseil de surveillance et du directoire.</t>
  </si>
  <si>
    <t>Tableau 34 - Aides à la création artistique accordées par le ministère de la Culture, 2018</t>
  </si>
  <si>
    <t>Composition de la commission</t>
  </si>
  <si>
    <t>Nombre d'aides accordées</t>
  </si>
  <si>
    <t>Montant des aides accordées (en milliers d'euros)</t>
  </si>
  <si>
    <t>Nombre de membres</t>
  </si>
  <si>
    <t xml:space="preserve">Part des femmes </t>
  </si>
  <si>
    <t>Aide à l'écriture d'œuvres musicales</t>
  </si>
  <si>
    <t>Aide à l'écriture dramatique</t>
  </si>
  <si>
    <t>Soutien à la commande artistique dans le domaine des arts plastiques</t>
  </si>
  <si>
    <t>Aides déconcentrées pour la danse</t>
  </si>
  <si>
    <t>Aides déconcentrées pour la musique</t>
  </si>
  <si>
    <t>Aides déconcentrées pour le théâtre</t>
  </si>
  <si>
    <t>Source : Direction générale de la création artistique, 2018</t>
  </si>
  <si>
    <t>Note : le soutien à la commande artistique concerne en majorité des collectifs (36 pour 61 accordées), 15 de ces collectifs étaient composés d'au moins une femme</t>
  </si>
  <si>
    <t>Note : la part des femmes recevant des aides déconcentrées est calculée à partir du sexe du directeur artistique</t>
  </si>
  <si>
    <t>Tableau 64 : Part des femmes parmi les artistes-auteur.e.s affiliés à l'Agessa et à la Maison des artistes, 2012-2016</t>
  </si>
  <si>
    <t>Effectifs</t>
  </si>
  <si>
    <t>Écart médian de revenu d’artiste-auteur entre femmes et hommes</t>
  </si>
  <si>
    <t>Traducteur.rice.s</t>
  </si>
  <si>
    <t>Écrivain.e.s et auteur.e.s d’œuvres dramatiques</t>
  </si>
  <si>
    <t>Auteurs d’œuvres audiovisuelles</t>
  </si>
  <si>
    <t>Illustrateur.rice.s (du livre, hors presse)</t>
  </si>
  <si>
    <t>Photographes</t>
  </si>
  <si>
    <t>Auteur.e.s de logiciels,multimédia</t>
  </si>
  <si>
    <t>Compositeur.rice.s musicales et chorégraphes</t>
  </si>
  <si>
    <t>Ensemble artistes-auteurs affiliés à l’Agessa</t>
  </si>
  <si>
    <t>Dessinateur.rice.s textile</t>
  </si>
  <si>
    <t>Métiers d’arts</t>
  </si>
  <si>
    <t>Artistes plasticien.ne.s</t>
  </si>
  <si>
    <t>Graphistes</t>
  </si>
  <si>
    <t>Peintres</t>
  </si>
  <si>
    <t>Illustrateur.rice.s</t>
  </si>
  <si>
    <t>Dessinateur.rice.s</t>
  </si>
  <si>
    <t>Sculpteur.rice.s</t>
  </si>
  <si>
    <t>Ensemble artistes-auteur.e.s affiliés à la Maison des artistes</t>
  </si>
  <si>
    <t>Dernières données disponibles (extraction juin 2018)</t>
  </si>
  <si>
    <t>Champ : France entière, ensemble des artistes auteurs affiliés à la Maison des artistes et à l'Agessa en 2016</t>
  </si>
  <si>
    <t>Tableau 57 - Part des femmes parmi les étudiant.e.s des école de l'enseignement supérieur Culture, 2006-2018</t>
  </si>
  <si>
    <t>Nombre d’étudiant.e.s</t>
  </si>
  <si>
    <t>Nombre d’écoles</t>
  </si>
  <si>
    <t>2006-2007</t>
  </si>
  <si>
    <t>2007-2008</t>
  </si>
  <si>
    <t>2008-2009</t>
  </si>
  <si>
    <t>2009-2010</t>
  </si>
  <si>
    <t>2010-2011</t>
  </si>
  <si>
    <t>2011-2012</t>
  </si>
  <si>
    <t>2012-2013</t>
  </si>
  <si>
    <t>2013-2014</t>
  </si>
  <si>
    <t>2014-2015</t>
  </si>
  <si>
    <t>2015-2016</t>
  </si>
  <si>
    <t>2016-2017</t>
  </si>
  <si>
    <t>2017-2018</t>
  </si>
  <si>
    <t>Arts plastiques</t>
  </si>
  <si>
    <t>Architecture</t>
  </si>
  <si>
    <t>Spectacle vivant</t>
  </si>
  <si>
    <t>Patrimoine</t>
  </si>
  <si>
    <t>Cinéma, audiovisuel</t>
  </si>
  <si>
    <t>Ensemble de l’enseignement supérieur Culture</t>
  </si>
  <si>
    <t>101*</t>
  </si>
  <si>
    <t>Ensemble de l’enseignement supérieur</t>
  </si>
  <si>
    <t>Champ : établissements de l'enseignement supérieur Culture</t>
  </si>
  <si>
    <t>* Trois écoles pluridisciplinaires apparaissent à la fois dans le domaine du Spectacle vivant et des Arts Plastiques.</t>
  </si>
  <si>
    <t>Actif</t>
  </si>
  <si>
    <t>En recherche d'emploi</t>
  </si>
  <si>
    <t>Autre situation</t>
  </si>
  <si>
    <t>Effectif</t>
  </si>
  <si>
    <t>Effectif total</t>
  </si>
  <si>
    <t>Cinéma</t>
  </si>
  <si>
    <t>Ensemble de l'enseignement supérieur Culture</t>
  </si>
  <si>
    <t>Note : les répondants n’ayant pas renseigné leur sexe ne sont pas pris en compte</t>
  </si>
  <si>
    <t>Tableau 60 - Evolution de la part des femmes parmi les actifs occupant une profession culturelle depuis 1990</t>
  </si>
  <si>
    <t>1990-1992</t>
  </si>
  <si>
    <t>1995-1997</t>
  </si>
  <si>
    <t>2000-2002</t>
  </si>
  <si>
    <t>2005-2007</t>
  </si>
  <si>
    <t>Professions des spectacles</t>
  </si>
  <si>
    <t>dont Artistes des spectacles</t>
  </si>
  <si>
    <t>dont Professionnel.le.s techniques des spectacles</t>
  </si>
  <si>
    <t>Professions des arts visuels et métiers d'art</t>
  </si>
  <si>
    <t>dont Artistes plasticiens</t>
  </si>
  <si>
    <t>dont Photographes</t>
  </si>
  <si>
    <t>dont Professions des arts graphiques, de la mode et de la décoration</t>
  </si>
  <si>
    <t>dont Métiers d'art</t>
  </si>
  <si>
    <t>Professions littéraires</t>
  </si>
  <si>
    <t>dont Journalistes et cadres de l'édition</t>
  </si>
  <si>
    <t>dont Auteur.e.s littéraires</t>
  </si>
  <si>
    <t>dont Traducteur.rice.s</t>
  </si>
  <si>
    <t>Professions de la documentation et de la conservation</t>
  </si>
  <si>
    <t>Architectes</t>
  </si>
  <si>
    <t>Professeur.e.s d'art</t>
  </si>
  <si>
    <t>Ensemble des professions culturelles</t>
  </si>
  <si>
    <t>Ensemble des actifs en emploi</t>
  </si>
  <si>
    <t>Dernières données disponibles</t>
  </si>
  <si>
    <t>Tableau 63 - Evolution de la part des femmes parmi les actifs travaillant dans un secteur culturel depuis 2008</t>
  </si>
  <si>
    <t>2008-2010</t>
  </si>
  <si>
    <t>2010-2012</t>
  </si>
  <si>
    <t>Arts plastiques et autre création artistique</t>
  </si>
  <si>
    <t>Design</t>
  </si>
  <si>
    <t>Diffusion audiovisuelle</t>
  </si>
  <si>
    <t>Édition audiovisuelle</t>
  </si>
  <si>
    <t>Enseignement artistique amateur</t>
  </si>
  <si>
    <t>Industrie du film, du phonogramme et du jeu électronique</t>
  </si>
  <si>
    <t>Livre</t>
  </si>
  <si>
    <t>Photographie</t>
  </si>
  <si>
    <t>Presse</t>
  </si>
  <si>
    <t>Publicité</t>
  </si>
  <si>
    <t>Ensemble des secteurs culturels</t>
  </si>
  <si>
    <t>Tableau 68 - Ecart entre le salaire horaire moyen des femmes et des hommes dans les entreprises culturelles, 2014-2015</t>
  </si>
  <si>
    <t>Ensemble des salariés</t>
  </si>
  <si>
    <t>Détail par âge</t>
  </si>
  <si>
    <t>18-29 ans</t>
  </si>
  <si>
    <t>dont artisans, commerçants et chefs d’entreprises</t>
  </si>
  <si>
    <t>dont cadres et professions intellectuelles supérieures</t>
  </si>
  <si>
    <t>dont professions intermédiaires</t>
  </si>
  <si>
    <t>dont employés et ouvriers</t>
  </si>
  <si>
    <t>30-49 ans</t>
  </si>
  <si>
    <t>50 ans ou plus</t>
  </si>
  <si>
    <t>Lecture : en 2015, parmi les salariés des entreprises culturelles, le salaire horaire moyen des femmes est inférieur de 17,9 % à celui des hommes. Cet écart est de – 4,6 % chez les salariés âges de 18 à 29 ans</t>
  </si>
  <si>
    <t>Champ : ensemble des salaires pour les salariés dont l’emploi principal se situe au sein du champ de la culture hors établissements publics et audiovisuel public ; y compris association. Le champ de la culture ici utilisé comprend l’audiovisuel, la presse, l’architecture, le spectacle vivant, les arts visuels, le patrimoine, les agences de publicité, l’édition et l’enseignement culturel.</t>
  </si>
  <si>
    <t>Dernières données disponibles, homogènes entre 2014 et 2015</t>
  </si>
  <si>
    <t>Tableau 69 : Part des femmes selon le niveau de rémunération dans les entreprises culturelles, 2014-2015</t>
  </si>
  <si>
    <t>Ensemble des salariés des entreprises culturelles</t>
  </si>
  <si>
    <t>Détail par niveau de rémunération</t>
  </si>
  <si>
    <t>10 % de salariés les moins bien rémunérés</t>
  </si>
  <si>
    <t>…</t>
  </si>
  <si>
    <t>10 % de salariés les mieux rémunérés</t>
  </si>
  <si>
    <t>5 % de salariés les mieux rémunérés</t>
  </si>
  <si>
    <t>1 % de salariés les mieux rémunérés</t>
  </si>
  <si>
    <t>Lecture : 
- en 2015, parmi l'ensemble des salariés des entreprises culturelles, on compte 51,8 % de femmes
- en 2015, parmi les 1 % de salariés les mieux rémunérés de ces entreprises, la part des femmes n'est plus que de 27,4 %</t>
  </si>
  <si>
    <t>Champ : ensemble des salaires pour les salariés dont l’emploi principal se situe au sein du champ de la culture hors administration, collectivités territoriales, établissements publics, services à compétence nationale, audiovisuel public ; y compris association. Le champ de la culture ici utilisé comprend l’audiovisuel, la presse, l’architecture, le spectacle vivant, les arts visuels, le patrimoine, les agences de publicité, l’édition et l’enseignement culturel.</t>
  </si>
  <si>
    <t>Nombre de détenteurs de la carte de presse</t>
  </si>
  <si>
    <t>Par secteur</t>
  </si>
  <si>
    <t>Presse écrite</t>
  </si>
  <si>
    <t>Télévision</t>
  </si>
  <si>
    <t>Radio</t>
  </si>
  <si>
    <t>Agence de presse</t>
  </si>
  <si>
    <t>Autres</t>
  </si>
  <si>
    <t>Par métier</t>
  </si>
  <si>
    <t>Reporter Rédacteur</t>
  </si>
  <si>
    <t>Rédacteur en chef</t>
  </si>
  <si>
    <t>Chef d'agence, de service, de rubrique</t>
  </si>
  <si>
    <t>Secrétaire de rédaction</t>
  </si>
  <si>
    <t>Secrétaire général de rédaction, chef d'édition</t>
  </si>
  <si>
    <t>Dessinateur, graphiste</t>
  </si>
  <si>
    <t>Reporter photographe</t>
  </si>
  <si>
    <t>Directeur de publication ou de rédaction</t>
  </si>
  <si>
    <t>Journaliste reporter d'images</t>
  </si>
  <si>
    <t>Producteur / réalisateur</t>
  </si>
  <si>
    <t>Par âge</t>
  </si>
  <si>
    <t>moins de 26 ans</t>
  </si>
  <si>
    <t>26 à 35 ans</t>
  </si>
  <si>
    <t>36 à 45 ans</t>
  </si>
  <si>
    <t>46 à 55 ans</t>
  </si>
  <si>
    <t>56 à 65 ans</t>
  </si>
  <si>
    <t>66 ans et plus</t>
  </si>
  <si>
    <t>Tableau 58 - Part des femmes parmi les actifs des secteurs culturels ayant bénéficié d'une formation continue en 2017</t>
  </si>
  <si>
    <t>Part des femmes 2017 (en %)</t>
  </si>
  <si>
    <t>Part des femmes en 2016 (en %)</t>
  </si>
  <si>
    <t>Intermittent.e.s du spectacle par catégorie</t>
  </si>
  <si>
    <t>Techniciens de l'audiovisuel</t>
  </si>
  <si>
    <t>Techniciens du spectacle vivant</t>
  </si>
  <si>
    <t>Artistes interprètes</t>
  </si>
  <si>
    <t>Musiciens</t>
  </si>
  <si>
    <t>Salarié.e.s permanent.e.s par branche</t>
  </si>
  <si>
    <t>Audiovisuel</t>
  </si>
  <si>
    <t>Edition phonographique</t>
  </si>
  <si>
    <t>Exploitation cinématographique</t>
  </si>
  <si>
    <t>Distribution de films</t>
  </si>
  <si>
    <t>Distribution directe</t>
  </si>
  <si>
    <t>Espaces de loisirs, d'attractions et culturels</t>
  </si>
  <si>
    <t>Presse écrite et agence de presse</t>
  </si>
  <si>
    <t>Edition de livres</t>
  </si>
  <si>
    <t>Diverses activités culturelles</t>
  </si>
  <si>
    <t>Artistes auteur.e.s par catégorie</t>
  </si>
  <si>
    <t>Images fixes et arts visuels</t>
  </si>
  <si>
    <t>Arts visuels 3D</t>
  </si>
  <si>
    <t>Ecrits et arts dramatiques</t>
  </si>
  <si>
    <t>Musique et chorégraphie</t>
  </si>
  <si>
    <t>Cinéma et audiovisuel</t>
  </si>
  <si>
    <t>Journalistes rémunéré.e.s à la pige de la presse écrite et en ligne</t>
  </si>
  <si>
    <t xml:space="preserve">Total </t>
  </si>
  <si>
    <t xml:space="preserve">Total général </t>
  </si>
  <si>
    <t xml:space="preserve">Moyenne d'âge </t>
  </si>
  <si>
    <t>Effectifs totaux</t>
  </si>
  <si>
    <t>Ensemble des métiers de l'audiovisuel (total dédoublonné)</t>
  </si>
  <si>
    <t xml:space="preserve">Interprétation et gestion de la distribution artistique </t>
  </si>
  <si>
    <t>Métiers connexes</t>
  </si>
  <si>
    <t>Information, antenne, documentation multimedia</t>
  </si>
  <si>
    <t xml:space="preserve">Gestion de production audiovisuelle et transmedia </t>
  </si>
  <si>
    <t>Image</t>
  </si>
  <si>
    <t>Écriture et conception de projets audiovisuels</t>
  </si>
  <si>
    <t>Exploitation et maintenance des réseaux et des régies audiovisuels</t>
  </si>
  <si>
    <t xml:space="preserve">Décor, construction, plateau </t>
  </si>
  <si>
    <t>Graphisme, effets visuels numériques</t>
  </si>
  <si>
    <t>Son</t>
  </si>
  <si>
    <t>Costume, maquillage, coiffure</t>
  </si>
  <si>
    <t>revenu moyen
 pour une contribution</t>
  </si>
  <si>
    <t>Part des 
contributions</t>
  </si>
  <si>
    <t xml:space="preserve">femmes </t>
  </si>
  <si>
    <t>hommes</t>
  </si>
  <si>
    <t>Part des femmes (%)</t>
  </si>
  <si>
    <t>dont Cirque</t>
  </si>
  <si>
    <t>dont Chorégraphie</t>
  </si>
  <si>
    <t>dont Dramatico-musical</t>
  </si>
  <si>
    <t>dont Mise en scène</t>
  </si>
  <si>
    <t>dont Musique de scène</t>
  </si>
  <si>
    <t>dont Théâtre</t>
  </si>
  <si>
    <t>dont Animation</t>
  </si>
  <si>
    <t>dont Cinéma</t>
  </si>
  <si>
    <t>dont Radio</t>
  </si>
  <si>
    <t>dont Télévision</t>
  </si>
  <si>
    <t>Tableau 6 - Part des femmes à la direction des établissements publics nationaux sous tutelle du programme 131, 2016-2019</t>
  </si>
  <si>
    <t>Centre national de la chanson, des variétés et du jazz</t>
  </si>
  <si>
    <t>Centre national de la danse</t>
  </si>
  <si>
    <t>Philarmonie de Paris</t>
  </si>
  <si>
    <t>Comédie Française</t>
  </si>
  <si>
    <t>Etablissement public du parc et de la grande halle de la Villette</t>
  </si>
  <si>
    <t>Opéra Comique</t>
  </si>
  <si>
    <t>Opéra national de Paris</t>
  </si>
  <si>
    <t>Théâtre national de Chaillot</t>
  </si>
  <si>
    <t>Théâtre national de la Colline</t>
  </si>
  <si>
    <t>Théâtre national de l'Odéon</t>
  </si>
  <si>
    <t>Théâtre national de Strasbourg</t>
  </si>
  <si>
    <t>Sous-total spectacle vivant</t>
  </si>
  <si>
    <t>Centre national des arts plastiques</t>
  </si>
  <si>
    <t>Sèvres - Cité de la céramique</t>
  </si>
  <si>
    <t>Sous-total arts plastiques</t>
  </si>
  <si>
    <t>Source : Ministère de la Culture, Direction générale de la création artistique, 2019</t>
  </si>
  <si>
    <t>Tableau 15 - Part des femmes dans les instances du Centre national de la chanson, des variétés et du jazz (CNV), 2015-2019</t>
  </si>
  <si>
    <t>Au 1er octobre 2015</t>
  </si>
  <si>
    <t>Nombre de mandats*</t>
  </si>
  <si>
    <t>Ensemble des instances du CNV****</t>
  </si>
  <si>
    <t>Président.e.s et vice-président.e.s</t>
  </si>
  <si>
    <t>Membres et membres suppléant.e.s</t>
  </si>
  <si>
    <t>dont membres titulaires</t>
  </si>
  <si>
    <t>dont membres suppléant.e.s</t>
  </si>
  <si>
    <t>Conseil d'administration**</t>
  </si>
  <si>
    <t>Président.e</t>
  </si>
  <si>
    <t>Comité des programmes</t>
  </si>
  <si>
    <t xml:space="preserve">Membres  </t>
  </si>
  <si>
    <t>Commissions***</t>
  </si>
  <si>
    <t>Comités régionaux : représentants du CNV</t>
  </si>
  <si>
    <t>Comité d'engagement du fonds d'urgence****</t>
  </si>
  <si>
    <t>Membres</t>
  </si>
  <si>
    <t>* Plusieurs mandats peuvent être exercés par les mêmes personnes</t>
  </si>
  <si>
    <t>** Le comité des programmes réunit le.a président.e du CA, les président.e.s et vice-président.e.s et quelques personnalités qualifiées</t>
  </si>
  <si>
    <t>*** Les commissions en charge de l'instruction des dossiers de demande d'aides sont au nombre de 8</t>
  </si>
  <si>
    <t>Part des femmes dans les instances du CNV</t>
  </si>
  <si>
    <t>Pour les Président.e.s et Vice-Président.e.s, Membres titulaires et Membres suppléant.e.s (hors postes actuellement non pourvus)</t>
  </si>
  <si>
    <t>Hors Comité d'engagement du fonds d'urgence et Comités régionaux</t>
  </si>
  <si>
    <t>En nombre de personnes</t>
  </si>
  <si>
    <t>Ensemble des instances du CNV</t>
  </si>
  <si>
    <t>Tableau 17 - Part des femmes dans les commissions d'acquisition du Centre national des arts plastiques en 2016-2018</t>
  </si>
  <si>
    <t>De juillet 2018 à juillet 2021</t>
  </si>
  <si>
    <t>En 2016</t>
  </si>
  <si>
    <t>Commissions d'acquisition</t>
  </si>
  <si>
    <t>Collège "Arts plastiques"</t>
  </si>
  <si>
    <t>Collège "Photographie et images"</t>
  </si>
  <si>
    <t>Collège "Arts décoratifs, design, métiers d'art"</t>
  </si>
  <si>
    <t>Commissions de soutien à la création</t>
  </si>
  <si>
    <t>Soutien à une recherche/production artistique</t>
  </si>
  <si>
    <t>Soutien à la photographie documentaire contemporaine</t>
  </si>
  <si>
    <t>N/A</t>
  </si>
  <si>
    <t>Soutien à la recherche en restauration et conservation d'œuvres d'art contemporain</t>
  </si>
  <si>
    <t>Soutien à la recherche en théorie et critique d'art</t>
  </si>
  <si>
    <t>soutien à l'édition imprimée/numérique</t>
  </si>
  <si>
    <t>Soutien à la première exposition/publication</t>
  </si>
  <si>
    <t>Soutien pour une participation à une foire à l'étranger</t>
  </si>
  <si>
    <t>Soutien pour l'avance remboursable dans la production d'une œuvre originale</t>
  </si>
  <si>
    <t>Soutien aux maisons de production</t>
  </si>
  <si>
    <t>Tableau 28 - Part des femmes parmi les chef.fe.s des services territoriaux agréés en archéologie préventive, 2015-2019</t>
  </si>
  <si>
    <t>Au 1er janvier 2015</t>
  </si>
  <si>
    <t>Répartition par structure de tutelle</t>
  </si>
  <si>
    <t>Commune</t>
  </si>
  <si>
    <t>Groupement de commune</t>
  </si>
  <si>
    <t>Métropole</t>
  </si>
  <si>
    <t>ND</t>
  </si>
  <si>
    <t>Conseil départemental</t>
  </si>
  <si>
    <t>Groupe de départements</t>
  </si>
  <si>
    <t>Nombre d'établissements</t>
  </si>
  <si>
    <t>Directeur.trice</t>
  </si>
  <si>
    <t>Par taille d'établissement (répartition au 31/12/2016)</t>
  </si>
  <si>
    <t>10 à 19 agent.e.s</t>
  </si>
  <si>
    <t>20 à 29 agent.e.s</t>
  </si>
  <si>
    <t>30 à 39 agent.e.s</t>
  </si>
  <si>
    <t>40 agent.e.s et plus</t>
  </si>
  <si>
    <t>Tableau 48 - Entrées moyennes par film d'initiative française selon le sexe du réalisateur, 2008-2017</t>
  </si>
  <si>
    <t>Nombre de film sortis en salles</t>
  </si>
  <si>
    <t>Nombre moyen d'entrées par film</t>
  </si>
  <si>
    <t>Nombre d'entrées pour 100 € investis**</t>
  </si>
  <si>
    <t>Mixte</t>
  </si>
  <si>
    <t>2017*</t>
  </si>
  <si>
    <t>* Entrées arrêtées au 31/01/2017. L'année de référence est l'année d'agrément des investissements. Les données relatives aux films agréés en 2017 sont partielles et à regarder avec les précautions d'usage.</t>
  </si>
  <si>
    <t>** Nombre d'entrées rapporté au devis du film.</t>
  </si>
  <si>
    <t>Lorsqu'un film est coréalisé par des personnes de sexe différents, il est qualifié de mixte et compté une seule fois.</t>
  </si>
  <si>
    <t>Les historiques ont été retraités en 2019 et les tableaux affichent donc des différences avec ceux de l'Observatoire des années précédentes.</t>
  </si>
  <si>
    <t>Source : Centre national du cinéma et de l'image animée, 2019</t>
  </si>
  <si>
    <t>Tableau 49 - Part des femmes parmi les lauréat.e.s de certaines distinctions aux Césars du cinéma, 1976-2018</t>
  </si>
  <si>
    <t>1976 à 1979</t>
  </si>
  <si>
    <t>1980 à 1989</t>
  </si>
  <si>
    <t>1990 à 1999</t>
  </si>
  <si>
    <t>2000 à 2009</t>
  </si>
  <si>
    <t>2010 à 2018</t>
  </si>
  <si>
    <t>Meilleur film</t>
  </si>
  <si>
    <t>Films sélectionnés</t>
  </si>
  <si>
    <t>dont réalisés par des femmes</t>
  </si>
  <si>
    <t>Films primés</t>
  </si>
  <si>
    <t>Meilleur court-métrage*</t>
  </si>
  <si>
    <t>Meilleur réalisateur</t>
  </si>
  <si>
    <t>Réalisateur.rice.s sélectionné.e.</t>
  </si>
  <si>
    <t>dont femmes</t>
  </si>
  <si>
    <t>Réalisateur.rice.s primé.e.s</t>
  </si>
  <si>
    <t>*Meilleur court métrage de fiction jusqu'à 1991, puis meilleur court métrage</t>
  </si>
  <si>
    <t>Tableau 50 - Part des femmes parmi les lauréat.e.s de certains prix du festival de Cannes ainsi qu'à la présidence du jury, 1970-2018</t>
  </si>
  <si>
    <t>1970 à 1979</t>
  </si>
  <si>
    <t>Palme d'or</t>
  </si>
  <si>
    <t>Palme d'or du court métrage</t>
  </si>
  <si>
    <t>Grand prix</t>
  </si>
  <si>
    <t>Présidence du jury</t>
  </si>
  <si>
    <t>Nombre de président.e.s</t>
  </si>
  <si>
    <t>Tableau 51 : Part des femmes parmi les interprètes des 50 plus grands succès musicaux de l'année 2016</t>
  </si>
  <si>
    <t>Mixtes</t>
  </si>
  <si>
    <t>Part de femmes</t>
  </si>
  <si>
    <t>Top 50 téléchargement (titres)</t>
  </si>
  <si>
    <t>Top 50 flux (titres)</t>
  </si>
  <si>
    <t>Top 50 physique (albums)</t>
  </si>
  <si>
    <t>Source : GfK / DEPS, Ministère de la Culture, 2018</t>
  </si>
  <si>
    <t>Tableau 52 - Part des femmes parmi les lauréats des Victoires de la musique, de la musique classique et du jazz, 1985-2018</t>
  </si>
  <si>
    <t>1985 à 1989</t>
  </si>
  <si>
    <t>Victoires de la musique (meilleur album*)</t>
  </si>
  <si>
    <t>Albums primés, dont chantés par :</t>
  </si>
  <si>
    <t>Mixtes (duo, groupe, etc.)</t>
  </si>
  <si>
    <t>Victoires du jazz (artiste de l'année)</t>
  </si>
  <si>
    <t>Artistes primé.e.s dont :</t>
  </si>
  <si>
    <t>Victoires de la musique classique**</t>
  </si>
  <si>
    <t>Artistes primé.e.s dont :</t>
  </si>
  <si>
    <t>* « Meilleur album de l'année » entre 1985-1998 et 2011 ; « Meilleur album rock » et « Meilleur album variété » pour les autres années</t>
  </si>
  <si>
    <t>Tableau 53 - Part des femmes parmi les lauréat.e.s des Molières, 1987-2018</t>
  </si>
  <si>
    <t>1987 à 1989</t>
  </si>
  <si>
    <t>Molière du metteur en scène*</t>
  </si>
  <si>
    <t>Personnes sélectionnées</t>
  </si>
  <si>
    <t>Personnes primées</t>
  </si>
  <si>
    <t>Molière de l'auteur</t>
  </si>
  <si>
    <t>* Molière du metteur en scène d'un spectacle de théâtre public et Molière du metteur en scène d'un spectacle de théâtre privé</t>
  </si>
  <si>
    <t>Tableau 54 - Part des femmes dans les jurys de quelques prix littéraires emblématiques, 2011-2018</t>
  </si>
  <si>
    <t>Composition</t>
  </si>
  <si>
    <t>dont hors prix Femina*</t>
  </si>
  <si>
    <t>Présidence</t>
  </si>
  <si>
    <t>* Le jury du prix Femina est composé exclusivement de femmes</t>
  </si>
  <si>
    <t>Champ : Les prix suivants ont été pris en compte dans ce tableau : Académie Goncourt, Renaudot, Femina, Décembre, Interallié et Médicis</t>
  </si>
  <si>
    <t>Tableau 55 - Part des femmes parmi les lauréat.e.s de quelques prix littéraires emblématiques, 1900-2018</t>
  </si>
  <si>
    <t>1900 à 1909</t>
  </si>
  <si>
    <t>1910 à 1919</t>
  </si>
  <si>
    <t>1920 à 1929</t>
  </si>
  <si>
    <t>1930 à 1939</t>
  </si>
  <si>
    <t>1940 à 1949</t>
  </si>
  <si>
    <t>1950 à 1959</t>
  </si>
  <si>
    <t>1960 à 1969</t>
  </si>
  <si>
    <t>Lauréat.e.s</t>
  </si>
  <si>
    <t>Champ : les prix suivants ont été pris en compte dans ce tableau : Académie Goncourt (roman), Goncourt des Lycéens, Renaudot (roman), Femina, Décembre, Interallié (roman français), Prix du roman FNAC, Prix des libraires, Prix Médicis, Prix du livre Inter, Grand Prix RTL-Lire, Prix des lectrices de Elle, Prix des maisons de la presse</t>
  </si>
  <si>
    <t>En 2018</t>
  </si>
  <si>
    <t>Tableau 56 - Parts des femmes décorées dans l'Ordre des Arts et des Lettres, 2014-2018</t>
  </si>
  <si>
    <t>Chevalier</t>
  </si>
  <si>
    <t>Officier</t>
  </si>
  <si>
    <t>Commandeur</t>
  </si>
  <si>
    <t>Source : Ministère de la Culture, Secrétariat général, Services des ressources humaines, 2019</t>
  </si>
  <si>
    <t>Tableau 67 – Effectifs et rémunérations parmi les agents de la filière scientifique et technique de l'INRAP, 2015-2017</t>
  </si>
  <si>
    <t>Effectifs permanents inscrits au 31/12/2017</t>
  </si>
  <si>
    <t>Part des femmes 2015</t>
  </si>
  <si>
    <t>Part des femmes 2016</t>
  </si>
  <si>
    <t>Rémunération mensuelle moyenne (en euros, traitement de base au 31/12/2017)</t>
  </si>
  <si>
    <t>Ecart F/H 2015</t>
  </si>
  <si>
    <t>Ecart F/H 2016</t>
  </si>
  <si>
    <t>Ecart F/H</t>
  </si>
  <si>
    <t>Total filière scientifique et technique</t>
  </si>
  <si>
    <t>Dont :</t>
  </si>
  <si>
    <t>Spécialiste</t>
  </si>
  <si>
    <t>Responsable d'opération</t>
  </si>
  <si>
    <t>Technicien.ne d'opération</t>
  </si>
  <si>
    <t>Tableau 31 – Part des femmes parmi les directeur.rice.s des établissements nationaux, territoriaux et associatifs de l'enseignement supérieur Culture, 2015-2019</t>
  </si>
  <si>
    <t>Au 6 février 2019</t>
  </si>
  <si>
    <t>Par type de structure</t>
  </si>
  <si>
    <t>Etablissements publics nationaux</t>
  </si>
  <si>
    <t>Etablissements publics de coopération culturelle (EPCC) et associations</t>
  </si>
  <si>
    <t>Par domaine</t>
  </si>
  <si>
    <t>Tableau 26 - Composition des jurys des examens professionnels du ministère de la culture, 2014-2018</t>
  </si>
  <si>
    <t>Type de procédure</t>
  </si>
  <si>
    <t>Catégorie</t>
  </si>
  <si>
    <t>Nombre de membres du jury (dont présidence)</t>
  </si>
  <si>
    <t>Part des femmes en 2018</t>
  </si>
  <si>
    <t>Part des femmes en 2017</t>
  </si>
  <si>
    <t>Part des femmes en 2016</t>
  </si>
  <si>
    <t>Part des femmes en 2015</t>
  </si>
  <si>
    <t>Part des femmes en 2014</t>
  </si>
  <si>
    <t>HOMME</t>
  </si>
  <si>
    <t>Concours (catégories A, B et C) et procédures « Loi Sauvadet » (catégorie A uniquement)</t>
  </si>
  <si>
    <t>Catégorie A*</t>
  </si>
  <si>
    <t>Catégorie B</t>
  </si>
  <si>
    <t>Catégorie C*</t>
  </si>
  <si>
    <t>Total concours et procédures "Loi Sauvadet" (catégorie A)</t>
  </si>
  <si>
    <t>EXAMENS PROFESSIONNELS (catégories A,B et C) + PROCÉDURES « LOI SAUVADET » (catégories B et C) + RECRUTEMENT SANS CONCOURS (catégorie C)</t>
  </si>
  <si>
    <t>Total examens professionnels et procédures « Loi Sauvadet » (catégories B et C)</t>
  </si>
  <si>
    <t>Total concours, examens professionnels, procédures « Loi Sauvadet » et recrutement sans concours</t>
  </si>
  <si>
    <t>* : Pas de concours de catégorie C en 2016</t>
  </si>
  <si>
    <t>* : pas de concours de catégorie A en 2018, uniquement des procédures issues de la loi dite "Sauvadet" et pas d'organisation de l'examen professionnel de chargé d'études documentaires principal (organisation en 2019)</t>
  </si>
  <si>
    <t>* : organisation d'une recrutement sans concours mais pas de concours de catégorie C en 2018</t>
  </si>
  <si>
    <t>Note : l'intégration des procédures loi Sauvadet avec les concours de catégorie A en 2016 créé une rupture de série pour ces deux lignes par rapport à 2015.
L’intégration des recrutements sans concours pour les catégories C créé une rupture de série pour cette ligne par rapport à 2015.</t>
  </si>
  <si>
    <t>Sociétaires de la Sacem</t>
  </si>
  <si>
    <t>Nouvelles adhésions en 2018</t>
  </si>
  <si>
    <t>Auteur.e.s compositeur.rice.s</t>
  </si>
  <si>
    <t>Compositeur.rice.s</t>
  </si>
  <si>
    <t>Auteur.e.s</t>
  </si>
  <si>
    <t>Auteur.e.s Réalisateur.rice.s</t>
  </si>
  <si>
    <t>Auteur.e.s de doublages et de sous-titrages</t>
  </si>
  <si>
    <t>Effectifs permanents de la Sacem</t>
  </si>
  <si>
    <t>Effectifs permanents inscrits au 31/12/2017*</t>
  </si>
  <si>
    <t>Ancienneté moyenne au 31/12/2017 (en années)</t>
  </si>
  <si>
    <t>Ecart femmes / hommes sur la rémunération 2017 théorique mensuelle moyenne avec ancienneté</t>
  </si>
  <si>
    <t>Domaine de compétence</t>
  </si>
  <si>
    <t>Gestion et relations sociétaires</t>
  </si>
  <si>
    <t>Développement et relations clientèles</t>
  </si>
  <si>
    <t>Fonctions supports</t>
  </si>
  <si>
    <t>Global</t>
  </si>
  <si>
    <t>% femmes</t>
  </si>
  <si>
    <t>% hommes</t>
  </si>
  <si>
    <t>Présidents</t>
  </si>
  <si>
    <t>Commissions</t>
  </si>
  <si>
    <t>Arts</t>
  </si>
  <si>
    <t>Bande dessinée</t>
  </si>
  <si>
    <t>Economie numérique</t>
  </si>
  <si>
    <t>Extraduction littérature</t>
  </si>
  <si>
    <t>Extraduction sciences, sciences humaines et sociales</t>
  </si>
  <si>
    <t>Librairies francophones à l’étranger</t>
  </si>
  <si>
    <t>Littérature classique et critique littéraire</t>
  </si>
  <si>
    <t>Littérature jeunesse</t>
  </si>
  <si>
    <t>Littérature scientifique et technique</t>
  </si>
  <si>
    <t>Littératures étrangères (roman, poésie)</t>
  </si>
  <si>
    <t>Philosophie</t>
  </si>
  <si>
    <t>Poésie</t>
  </si>
  <si>
    <t>Roman</t>
  </si>
  <si>
    <t>Théâtre</t>
  </si>
  <si>
    <t>Vie littéraire</t>
  </si>
  <si>
    <t>Total général</t>
  </si>
  <si>
    <t>Demandes</t>
  </si>
  <si>
    <t>Aides</t>
  </si>
  <si>
    <t>Montants alloués</t>
  </si>
  <si>
    <t>Montant moyen des aides allouées</t>
  </si>
  <si>
    <t>Type d'aide</t>
  </si>
  <si>
    <t>Part des
femmes</t>
  </si>
  <si>
    <t>Assistance culturelle</t>
  </si>
  <si>
    <t>Bourses</t>
  </si>
  <si>
    <t>Bourses de résidence</t>
  </si>
  <si>
    <t>Bourses de traduction</t>
  </si>
  <si>
    <t>Traducteurs étrangers</t>
  </si>
  <si>
    <t>Part femmes</t>
  </si>
  <si>
    <t>Arts et bibliophilie</t>
  </si>
  <si>
    <t>Histoire et SHS</t>
  </si>
  <si>
    <t>Jeunesse</t>
  </si>
  <si>
    <t>Littératures étrangères</t>
  </si>
  <si>
    <t>Tableau 27 - Part des femmes parmi les directeur.rice.s des lieux de création et de diffusion des arts plastiques et du spectacle vivant subventionnés par le ministère de la Culture*, 2013-2017</t>
  </si>
  <si>
    <t>Nombre de structures</t>
  </si>
  <si>
    <t>Part mixte</t>
  </si>
  <si>
    <t>Part des hommes</t>
  </si>
  <si>
    <t>Part de directrices</t>
  </si>
  <si>
    <t>Centres chorégraphiques nationaux (CCN)</t>
  </si>
  <si>
    <t>Centres d'art</t>
  </si>
  <si>
    <t>Centres de développement chorégraphique (CDC)</t>
  </si>
  <si>
    <t>Centres dramatiques nationaux (CDN) et régionaux (CDR)</t>
  </si>
  <si>
    <t>Centres nationaux de création musicale (CNCM)</t>
  </si>
  <si>
    <t>Centres nationaux des arts de la rue et assimilés (CNAREP)</t>
  </si>
  <si>
    <t>Fonds régionaux d'art contemporain (FRAC)</t>
  </si>
  <si>
    <t>Opéras**</t>
  </si>
  <si>
    <t>Orchestres</t>
  </si>
  <si>
    <t>Pôles nationaux des arts du cirque (PNAC)</t>
  </si>
  <si>
    <t>Scènes de musiques actuelles (SMAC)</t>
  </si>
  <si>
    <t>Scènes Nationales</t>
  </si>
  <si>
    <t>(*) : structures subventionnées dans le cadre du programme 131</t>
  </si>
  <si>
    <t>** : Il n'y a plus que cinq opéras nationaux, ce qui explique la rupture de série avec 2017</t>
  </si>
  <si>
    <t>Note : Hors structures nationales</t>
  </si>
  <si>
    <t>Budget 2016/2017</t>
  </si>
  <si>
    <t>Inférieur à 500 000 €</t>
  </si>
  <si>
    <t>Entre 500 000 et 1 000 000 €</t>
  </si>
  <si>
    <t>Entre 1 000 000 et 2 000 000 €</t>
  </si>
  <si>
    <t>Entre 2 000 000 et 5 000 000 €</t>
  </si>
  <si>
    <t>Entre 5 000 000 et 10 000 000 €</t>
  </si>
  <si>
    <t>Supérieur ou égal à 10 000 000 €</t>
  </si>
  <si>
    <t>(*) : structures labellisées dans le cadre du programme Création artistique (programme 131) hors structures nationales : Fonds régionaux d'art contemporain (FRAC), Centres d'art, Centres de développement chorégraphique (CDC), Scènes nationales, Centre chorégraphiques nationaux (CCN), Orchestres, Scènes de musiques actuelles, Pôles cirques, Centres dramatqiesu nationaux (CDN) et régionaux (CDR), Opéras, Centres nationaux de création musicale, Centres nationaux des arts de la rue.</t>
  </si>
  <si>
    <t>Théâtres nationaux</t>
  </si>
  <si>
    <t>Centres dramatiques nationaux et régionaux</t>
  </si>
  <si>
    <t>Scènes nationales</t>
  </si>
  <si>
    <t>Scènes conventionnées</t>
  </si>
  <si>
    <t>Pôles nationaux des arts du cirques</t>
  </si>
  <si>
    <t>Centres de développement chorégraphiques</t>
  </si>
  <si>
    <t>Ensemble</t>
  </si>
  <si>
    <t>Nombre de représentations</t>
  </si>
  <si>
    <t>Part des représentations de spectacles mis en scène par des femmes</t>
  </si>
  <si>
    <t>Nombre de spectacles</t>
  </si>
  <si>
    <t>Part des spectacles mis en scène par des femmes</t>
  </si>
  <si>
    <t>Nombre de spectacles jeune public</t>
  </si>
  <si>
    <t>Part des spectacles jeune public mis en scène par des femmes</t>
  </si>
  <si>
    <t>Répartition des femmes par fonction</t>
  </si>
  <si>
    <t>Part de femmes ayant écrit le spectacle</t>
  </si>
  <si>
    <t>Part de femmes ayant réalisé l'adaptation</t>
  </si>
  <si>
    <t>Part de femmes ayant réalisé la traduction</t>
  </si>
  <si>
    <t>Part de femmes ayant réalisé la mise en scène</t>
  </si>
  <si>
    <t>Part de femmes ayant réalisé la scénographie</t>
  </si>
  <si>
    <t>Part de femmes ayant réalisé la chorégraphie</t>
  </si>
  <si>
    <t>Opéras</t>
  </si>
  <si>
    <t>Part des représentations de spectacles mis en scène par des femmes*</t>
  </si>
  <si>
    <t>Direction musicale</t>
  </si>
  <si>
    <t>Mise en scène</t>
  </si>
  <si>
    <t>Chorégraphie</t>
  </si>
  <si>
    <t>Livret</t>
  </si>
  <si>
    <t>Compositeur.rice</t>
  </si>
  <si>
    <t>Compositeur.rice contemporain.e</t>
  </si>
  <si>
    <t>* : Mise en scène pour les opéras, direction musicale pour les orchestres</t>
  </si>
  <si>
    <t>Part des oeuvres de femmes</t>
  </si>
  <si>
    <t>Acquisitions FNAC*</t>
  </si>
  <si>
    <t>Ensemble des oeuvres</t>
  </si>
  <si>
    <t>Oeuvres françaises</t>
  </si>
  <si>
    <t>Oeuvres étrangères</t>
  </si>
  <si>
    <t>Acquisitions FRAC</t>
  </si>
  <si>
    <t>Nombre total d'artistes exposés</t>
  </si>
  <si>
    <t>FRAC</t>
  </si>
  <si>
    <t>Ensemble des artistes exposés</t>
  </si>
  <si>
    <t>dont Expositions monographiques</t>
  </si>
  <si>
    <t>dont Expositions collectives</t>
  </si>
  <si>
    <t>Diffusion du livre en bibliothèques - Publics empêchés</t>
  </si>
  <si>
    <t>Histoire et Sciences de l'homme et de la société</t>
  </si>
  <si>
    <t>Librairie Indépendante de Référence</t>
  </si>
  <si>
    <t>Nouveaux.elles membres</t>
  </si>
  <si>
    <t>Part des femmes parmi les nouveaux.elles membres et parmi les promu.e.s au sein des sociétaires de la SACD en 2017</t>
  </si>
  <si>
    <t>Adhérent.e.s promu.e.s au titre de sociétaire adjoint</t>
  </si>
  <si>
    <t>Sociétaires adjoint.e.s promu.e.s au titre de sociétaires</t>
  </si>
  <si>
    <t>Tableau 66 - Part des femmes parmi les sociétaires et les permanent.e.s de la Sacem en 2018</t>
  </si>
  <si>
    <t>Tableau 71 - Revenu moyen pour une contribution par répertoire dans les droits d'auteurs perçus à la SACD, en 2016 et 2017</t>
  </si>
  <si>
    <t>Tableau 39 - Part des femmes dans la programmation des lieux musicaux, saison 2018-2019</t>
  </si>
  <si>
    <t>Tableau 40 - Part des oeuvres réalisées par des femmes dans les acquisitions du Fonds national d'art contemporain (FNAC) et des Fonds régionaux d'art contemporain (FRAC), 2011-2017</t>
  </si>
  <si>
    <t>Total d'oeuvres acquises 2017</t>
  </si>
  <si>
    <t>Total d'oeuvres acquises 2016</t>
  </si>
  <si>
    <t>q</t>
  </si>
  <si>
    <t>1. Le périmètre retenu est celui du comité exécutif</t>
  </si>
  <si>
    <t>2. Le périmètre retenu correspond au président-directeur général, au comité exécutif et au comité éditorial</t>
  </si>
  <si>
    <t>3. Le périmètre retenu est le comité de direction, les chiffres de 2015 et 2014 faisant référence à la réunion de direction</t>
  </si>
  <si>
    <t>4. Pour FMM, le périmètre retenu est le comité exécutif élargi, les chiffres 2014 et 2015 faisant référence au comité exécutif restreint</t>
  </si>
  <si>
    <t>1. Directeur.rices des antennes France 2, France 3, France 4, France 5, France Ô et 1ère.</t>
  </si>
  <si>
    <t>2. Directeur.rice.s des antennes France Inter, France Info, France Bleu, France Culture, Mouv’, Fip, France Musique.</t>
  </si>
  <si>
    <t>3. Directeur.rice des antennes France 24, RFI et MCD.</t>
  </si>
  <si>
    <t>Tableau 7 - Part des femmes parmi les président.e.s des entreprises de l'audiovisuel public, 2013-2019</t>
  </si>
  <si>
    <t>Tableau 8 - Part des femmes dans les comités de direction des entreprises de l’audiovisuel public, 2013-2019</t>
  </si>
  <si>
    <t>Tableau 9 - Part des femmes dans les directions des antennes de l’audiovisuel public, 2013-2019</t>
  </si>
  <si>
    <t>Tableau 10 - Part des femmes sur certaines fonctions du réseau France 3, 2013-2019</t>
  </si>
  <si>
    <t>Tableau 11 - Part des femmes sur certaines fonctions du réseau France Bleu, 2015-2019</t>
  </si>
  <si>
    <t>Source:  Centre national de la chanson, des variétés et du jazz, 2019</t>
  </si>
  <si>
    <t>**** Les membres du comité d'engagement du fonds d'urgence au spectacle vivant et les comités régionaux ne sont pas comptabilisés dans le total des instances</t>
  </si>
  <si>
    <t>Pour plus de lisibilité ont été regroupés les conseils d’administration, comités des programmes, commissions, comités régionaux (y compris le comité d’engagement Ville de Paris – CNV) et comité d’engagement du fonds d’urgence.</t>
  </si>
  <si>
    <t>Tableau 18 : Part des femmes au sein des commissions du Centre national du livre en 2018</t>
  </si>
  <si>
    <t>Source : Centre national du livre, 2019</t>
  </si>
  <si>
    <t>Source : Centre national du livre, 2018</t>
  </si>
  <si>
    <t>Tableau 29 - Part des femmes parmi les directeurs.trices des archives départementales, 2016-2018</t>
  </si>
  <si>
    <t>Tableau 30 - Part des femmes dirigeant les musées de France (hors Musées nationaux), 2014-2018</t>
  </si>
  <si>
    <t xml:space="preserve">Le Journal des Arts a arrêté cette recension en 2018. </t>
  </si>
  <si>
    <t>NB : Données disponibles pour 95 des 99 écoles du réseau,  quatre étant en attente de la nomination de son.sa directeur.rice
Pour l'année 2019, la date d'observation est le 6 février, et non pas le 1er janvier. On note également deux cas d'établissements étant dirigés par un co-directeur et une co-directrice.</t>
  </si>
  <si>
    <t>Source : Centre National du Livre, 2019</t>
  </si>
  <si>
    <t>Note : La ventilation du total du nombre d'œuvres acquises n'est pas disponible pour 2017.</t>
  </si>
  <si>
    <t>Source : Ministère de la Culture, Secrétariat général, Département des études, de la prospective et des statistiques, 2019</t>
  </si>
  <si>
    <t>Source : Ministère de la Culture, Secrétariat général, Département des études, de la prospective et des statistiques, 2018</t>
  </si>
  <si>
    <t>Source : SACD, 2019</t>
  </si>
  <si>
    <t>dont Arts de la rue</t>
  </si>
  <si>
    <t>Source : Sacem, 2019</t>
  </si>
  <si>
    <r>
      <t>Au 1</t>
    </r>
    <r>
      <rPr>
        <b/>
        <vertAlign val="superscript"/>
        <sz val="8"/>
        <color rgb="FF000000"/>
        <rFont val="Arial"/>
        <family val="2"/>
      </rPr>
      <t>er</t>
    </r>
    <r>
      <rPr>
        <b/>
        <sz val="8"/>
        <color rgb="FF000000"/>
        <rFont val="Arial"/>
        <family val="2"/>
      </rPr>
      <t>janvier 2018</t>
    </r>
  </si>
  <si>
    <r>
      <t>Au 1</t>
    </r>
    <r>
      <rPr>
        <b/>
        <vertAlign val="superscript"/>
        <sz val="8"/>
        <color rgb="FF000000"/>
        <rFont val="Arial"/>
        <family val="2"/>
      </rPr>
      <t>er</t>
    </r>
    <r>
      <rPr>
        <b/>
        <sz val="8"/>
        <color rgb="FF000000"/>
        <rFont val="Arial"/>
        <family val="2"/>
      </rPr>
      <t>janvier 2017</t>
    </r>
  </si>
  <si>
    <r>
      <t>Au 1</t>
    </r>
    <r>
      <rPr>
        <b/>
        <vertAlign val="superscript"/>
        <sz val="8"/>
        <color rgb="FF000000"/>
        <rFont val="Arial"/>
        <family val="2"/>
      </rPr>
      <t>er</t>
    </r>
    <r>
      <rPr>
        <b/>
        <sz val="8"/>
        <color rgb="FF000000"/>
        <rFont val="Arial"/>
        <family val="2"/>
      </rPr>
      <t>janvier 2016</t>
    </r>
  </si>
  <si>
    <r>
      <t>Au 1</t>
    </r>
    <r>
      <rPr>
        <b/>
        <vertAlign val="superscript"/>
        <sz val="8"/>
        <color rgb="FF000000"/>
        <rFont val="Arial"/>
        <family val="2"/>
      </rPr>
      <t>er</t>
    </r>
    <r>
      <rPr>
        <b/>
        <sz val="8"/>
        <color rgb="FF000000"/>
        <rFont val="Arial"/>
        <family val="2"/>
      </rPr>
      <t>janvier 2015</t>
    </r>
  </si>
  <si>
    <r>
      <t>Au 1</t>
    </r>
    <r>
      <rPr>
        <b/>
        <vertAlign val="superscript"/>
        <sz val="8"/>
        <color rgb="FF000000"/>
        <rFont val="Arial"/>
        <family val="2"/>
      </rPr>
      <t>er</t>
    </r>
    <r>
      <rPr>
        <b/>
        <sz val="8"/>
        <color rgb="FF000000"/>
        <rFont val="Arial"/>
        <family val="2"/>
      </rPr>
      <t>janvier 2014</t>
    </r>
  </si>
  <si>
    <r>
      <t>Au 1</t>
    </r>
    <r>
      <rPr>
        <b/>
        <vertAlign val="superscript"/>
        <sz val="8"/>
        <color rgb="FF000000"/>
        <rFont val="Arial"/>
        <family val="2"/>
      </rPr>
      <t>er</t>
    </r>
    <r>
      <rPr>
        <b/>
        <sz val="8"/>
        <color rgb="FF000000"/>
        <rFont val="Arial"/>
        <family val="2"/>
      </rPr>
      <t>janvier 2013</t>
    </r>
  </si>
  <si>
    <t>Source : Ministère de la Culture, Direction générale des Patrimoines, Services des musées de France, 2019</t>
  </si>
  <si>
    <t>Source : Ministère de la Culture, Secrétariat général, Département de la recherche, de l'enseignement supérieur et de la technologie, 2019</t>
  </si>
  <si>
    <t>Tableau 33 - Part des femmes dirigeant des institutions labellisées* selon la taille du budget , 2016-2018</t>
  </si>
  <si>
    <r>
      <t>Au 1</t>
    </r>
    <r>
      <rPr>
        <b/>
        <vertAlign val="superscript"/>
        <sz val="8"/>
        <color rgb="FF000000"/>
        <rFont val="Arial"/>
        <family val="2"/>
      </rPr>
      <t>er</t>
    </r>
    <r>
      <rPr>
        <b/>
        <sz val="8"/>
        <color rgb="FF000000"/>
        <rFont val="Arial"/>
        <family val="2"/>
      </rPr>
      <t>janvier 2017 (sur le budget 2015/2016)</t>
    </r>
  </si>
  <si>
    <r>
      <t>Au 1</t>
    </r>
    <r>
      <rPr>
        <b/>
        <vertAlign val="superscript"/>
        <sz val="8"/>
        <color rgb="FF000000"/>
        <rFont val="Arial"/>
        <family val="2"/>
      </rPr>
      <t>er</t>
    </r>
    <r>
      <rPr>
        <b/>
        <sz val="8"/>
        <color rgb="FF000000"/>
        <rFont val="Arial"/>
        <family val="2"/>
      </rPr>
      <t>janvier 2016 (sur le budget 2014/2015)</t>
    </r>
  </si>
  <si>
    <t>Tableau 41 - Part des femmes parmi les artistes exposées dans les FRAC et les centres d'art, 2011-2016</t>
  </si>
  <si>
    <r>
      <t xml:space="preserve">** « </t>
    </r>
    <r>
      <rPr>
        <sz val="8"/>
        <color theme="1"/>
        <rFont val="Arial"/>
        <family val="2"/>
      </rPr>
      <t xml:space="preserve">Artiste lyrique de l'année </t>
    </r>
    <r>
      <rPr>
        <sz val="8"/>
        <color rgb="FF000000"/>
        <rFont val="Arial"/>
        <family val="2"/>
      </rPr>
      <t xml:space="preserve">» </t>
    </r>
    <r>
      <rPr>
        <sz val="8"/>
        <color theme="1"/>
        <rFont val="Arial"/>
        <family val="2"/>
      </rPr>
      <t xml:space="preserve">et </t>
    </r>
    <r>
      <rPr>
        <sz val="8"/>
        <color rgb="FF000000"/>
        <rFont val="Arial"/>
        <family val="2"/>
      </rPr>
      <t>« S</t>
    </r>
    <r>
      <rPr>
        <sz val="8"/>
        <color theme="1"/>
        <rFont val="Arial"/>
        <family val="2"/>
      </rPr>
      <t xml:space="preserve">oliste instrumental de l'année </t>
    </r>
    <r>
      <rPr>
        <sz val="8"/>
        <color rgb="FF000000"/>
        <rFont val="Arial"/>
        <family val="2"/>
      </rPr>
      <t>» à partir de 1986</t>
    </r>
    <r>
      <rPr>
        <sz val="8"/>
        <color theme="1"/>
        <rFont val="Arial"/>
        <family val="2"/>
      </rPr>
      <t xml:space="preserve">, </t>
    </r>
    <r>
      <rPr>
        <sz val="8"/>
        <color rgb="FF000000"/>
        <rFont val="Arial"/>
        <family val="2"/>
      </rPr>
      <t>« C</t>
    </r>
    <r>
      <rPr>
        <sz val="8"/>
        <color theme="1"/>
        <rFont val="Arial"/>
        <family val="2"/>
      </rPr>
      <t xml:space="preserve">ompositeur de l'année </t>
    </r>
    <r>
      <rPr>
        <sz val="8"/>
        <color rgb="FF000000"/>
        <rFont val="Arial"/>
        <family val="2"/>
      </rPr>
      <t>» à partir de 2000</t>
    </r>
  </si>
  <si>
    <r>
      <rPr>
        <sz val="8"/>
        <color theme="1"/>
        <rFont val="Arial"/>
        <family val="2"/>
      </rPr>
      <t>* Salariés en CDI à temps plein présents du 1</t>
    </r>
    <r>
      <rPr>
        <vertAlign val="superscript"/>
        <sz val="8"/>
        <color rgb="FF000000"/>
        <rFont val="Arial"/>
        <family val="2"/>
      </rPr>
      <t>er</t>
    </r>
    <r>
      <rPr>
        <sz val="8"/>
        <color theme="1"/>
        <rFont val="Arial"/>
        <family val="2"/>
      </rPr>
      <t>janvier au 31 décembre 2016</t>
    </r>
  </si>
  <si>
    <t>Tableau 32 - Part des femmes à la direction* des 100 plus grandes entreprises culturelles en France, 2014-2019</t>
  </si>
  <si>
    <t>Répartition par secteur d'activité</t>
  </si>
  <si>
    <t>Livre et presse</t>
  </si>
  <si>
    <t>dont Livre</t>
  </si>
  <si>
    <t>dont Presse</t>
  </si>
  <si>
    <t>Autres (musique, jeux vidéo, spectacle vivant, photo et architecture)</t>
  </si>
  <si>
    <t>* : Président, directeur général ou, le cas échéant, gérant</t>
  </si>
  <si>
    <t>Note : Les données 2017 ont été mesurées sur une liste d'entreprises actualisée par rapport à celle des années précédentes. La répartition par secteur d'activité étant différente, seules les chiffres pour le livre et la presse ainsi que le total sont comparables avec les années précédentes</t>
  </si>
  <si>
    <t>Champ : 100 entreprises des secteurs culturels ayant le chiffre d'affaires le plus important en 2016, hors établissements publics et entreprises de l'audiovisuel public</t>
  </si>
  <si>
    <t>Tableau 59 - Taux d'insertion profesionnelle en 2018 des diplômés de l'enseignement supérieur culture de 2014</t>
  </si>
  <si>
    <t>Champ : diplômés de l'enseignement supérieur Culture en 2014, n'ayant pas obtenu de diplôme complémentaire depuis leur diplôme</t>
  </si>
  <si>
    <t>Lecture : en janvier 2018, 86 % des femmes et 94 % des hommes ayant été diplômés en 2014 d'une école d'architecture ont un emploi</t>
  </si>
  <si>
    <t>Tableau 20 – Rémunérations comparée des agents du Ministère de la Culture en 2017</t>
  </si>
  <si>
    <t>Par corps :</t>
  </si>
  <si>
    <t>Catégorie d'emploi</t>
  </si>
  <si>
    <t>Corps</t>
  </si>
  <si>
    <t>IM Moyen***</t>
  </si>
  <si>
    <t>Montant moyen primes servies</t>
  </si>
  <si>
    <t>Effectif total**</t>
  </si>
  <si>
    <t>Part des femmes dans l'effectif en 2017</t>
  </si>
  <si>
    <t>[Montant moy. primes servies / IM moy.]Femmes / [Montant moy. primes servies / IM moy.] Hommes</t>
  </si>
  <si>
    <t>Effectif femmes</t>
  </si>
  <si>
    <t>Effectifs hommes</t>
  </si>
  <si>
    <t>Administrative</t>
  </si>
  <si>
    <t>Administrateur.rice.s civil.e.s</t>
  </si>
  <si>
    <t>A</t>
  </si>
  <si>
    <t>Attaché.e.s adm. état</t>
  </si>
  <si>
    <t>Emplois fonctionnels</t>
  </si>
  <si>
    <t>Infirmier.ère.s d'Etat</t>
  </si>
  <si>
    <t>Inspecteur.rice.s conseiller.ères.s créat.</t>
  </si>
  <si>
    <t>Inspecteur.rice.s généraux.ales aff.c</t>
  </si>
  <si>
    <t>Secrétaires administratif.ve.s</t>
  </si>
  <si>
    <t>B</t>
  </si>
  <si>
    <t>Adj. Adm. état</t>
  </si>
  <si>
    <t>C</t>
  </si>
  <si>
    <t>Scientifique</t>
  </si>
  <si>
    <t>Architectes urbanistes</t>
  </si>
  <si>
    <t>Assistant.e.s ingénieur.e.s</t>
  </si>
  <si>
    <t>Bibliothécaires</t>
  </si>
  <si>
    <t>Chargé.e.s d'études doc.</t>
  </si>
  <si>
    <t>Conservateur.rice.s gaux bib.</t>
  </si>
  <si>
    <t>Conservateur.rice.s bibliothèque</t>
  </si>
  <si>
    <t>Conservateur.rice.s patrimoine</t>
  </si>
  <si>
    <t>Ingénieur.e.s de recherche</t>
  </si>
  <si>
    <t>Ingénieur.e.s d'études</t>
  </si>
  <si>
    <t>Bibliothécaires assis. spec.</t>
  </si>
  <si>
    <t>Secrétaires de documentation</t>
  </si>
  <si>
    <t>Technicien.ne.s de recherche</t>
  </si>
  <si>
    <t>Magasinier.ère.s spécialisé.e.s</t>
  </si>
  <si>
    <t>Métiers d'art</t>
  </si>
  <si>
    <t>Chef.fe.s de travaux d'art</t>
  </si>
  <si>
    <t>Technicien.ne.s d'art</t>
  </si>
  <si>
    <t>Adj. tech. état</t>
  </si>
  <si>
    <t>Accueil et surveillance du public</t>
  </si>
  <si>
    <t>Ingénieur.e.s des serv. culturels</t>
  </si>
  <si>
    <t>Technicien.ne.s des s.c. et b.f.</t>
  </si>
  <si>
    <t>Adjoint.e.s techni. asm</t>
  </si>
  <si>
    <t>Enseignement</t>
  </si>
  <si>
    <t>Professeur.e.s des écoles d'art et d'architecture</t>
  </si>
  <si>
    <t>Par catégorie statutaire :</t>
  </si>
  <si>
    <t>Effectif**</t>
  </si>
  <si>
    <t>Part des femmes dans l'effectif</t>
  </si>
  <si>
    <t>Ministère</t>
  </si>
  <si>
    <t>Agents titulaires</t>
  </si>
  <si>
    <t>(*) : Dernières données disponibles</t>
  </si>
  <si>
    <t>(**) : Personnes physiques</t>
  </si>
  <si>
    <t>(***) : IM = Indice majoré</t>
  </si>
  <si>
    <t>Précisions : Les tableaux ci-dessus présentent pour chaque corps de titulaires (ou chaque catégorie statutaire),
pour les femmes d'une part et pour les hommes d'autre part, le montant annuel brut moyen de primes
versé pour un équivalent temps plein et l'indice moyen de rémunération. Ces moyennes ont été
calculées à partir des données constituées par la population des agents titulaires du ministère de la
culture et de la communication rémunérés sur le budget de titre 2 pendant douze mois consécutifs,
en excluant les agents entrés ou sortis en cours d’année.</t>
  </si>
  <si>
    <t>Afin de neutraliser les différences indemnitaires liées à l'avancement dans la carrière, la
comparaison n'est pas directement établie entre les montants indemnitaires moyens servis aux
femmes et aux hommes, mais sur la base d'un indicateur construit comme suit : [montant moyen
des primes servies aux femmes / IM moyen des femmes] / [montant moyen des primes servies aux
hommes / IM moyen des hommes].</t>
  </si>
  <si>
    <t>Les valeurs prises par cet indicateur permettent de considérer que la répartition des primes est équitable si le ratio est compris entre 98% et 102% ; favorable aux femmes s’il est supérieur à 102% ; défavorable aux femmes s’il est inférieur à 98%.</t>
  </si>
  <si>
    <t xml:space="preserve">Par corps, 8 présentent une situation équilibrée ; 13 favorables aux hommes ; 6 favorables aux femmes. 
</t>
  </si>
  <si>
    <t>Périmètre :</t>
  </si>
  <si>
    <t xml:space="preserve">Le calcul du montant moyen des primes servies a été volontairement limité aux types de primes
dans l'attribution desquelles une discrimination selon le genre est susceptible d'être observée :
primes attachées à la manière de servir de l'agent par opposition aux primes de service fait. Ont été retenues à ce titre : 
- IFSE (administrateurs civils, ICCEAAC, attachés, secrétaires administratifs, adjoints administratifs)
- indemnités d'administration et de technicité D.2002-61 (adjoints techniques, techniciens des services culturels, secrétaires de documentation, adjoints d'accueil, de surveillance et de magasinage, magasiniers),
- indemnités forfaitaires pour travaux supplémentaires D.2002-62 et D.2002-63 (secrétaires administratifs, techniciens d'art, chefs de travaux d'art, techniciens des services culturels, chargés d'études documentaires, bibliothécaires, bibliothécaires assistants spécialisés),
- primes de rendement D.50-196 (adjoints administratifs, secrétaires administratifs, adjoints techniques, secrétaires de documentation, chargés d'études documentaires), 
- primes de fonction et de résultats D.2008-1533 (emplois fonctionnels), 
- indemnités de fonctions, indemnités de performance (emplois fonctionnels)
- primes d'activité (inspecteurs généraux des affaires culturelles),
- indemnités de rendement et de fonctions D.2007-1366 (architectes urbanistes de l'Etat), 
- indemnités scientifiques D.90-409 (conservateurs du patrimoine), 
</t>
  </si>
  <si>
    <t>Source : Ministère de la Culture / Secrétariat général, Service des ressources humaines, 2019</t>
  </si>
  <si>
    <t>Tableau 21 – Rémunérations comparée des agents contractuels du Ministère de la Culture en 2017</t>
  </si>
  <si>
    <t>Groupe / Catégorie</t>
  </si>
  <si>
    <t>Effectif*</t>
  </si>
  <si>
    <t>IM Moyen**</t>
  </si>
  <si>
    <t>Montant moyen de la rémunération brute annuelle</t>
  </si>
  <si>
    <t>Montant moyen des parts variables</t>
  </si>
  <si>
    <t>Effectif total*</t>
  </si>
  <si>
    <t>Part des femmes dans l'effectif total</t>
  </si>
  <si>
    <t>[Montant moy. parts variables / IM moy.]Femmes / [Montant moy. parts variables / IM moy.] Hommes</t>
  </si>
  <si>
    <t>Catégorie A - Groupe 5</t>
  </si>
  <si>
    <t>Catégorie A - Groupe 4</t>
  </si>
  <si>
    <t>Catégorie A - Groupe 3</t>
  </si>
  <si>
    <t>Catégorie B - Groupe 2</t>
  </si>
  <si>
    <t>Catégorie C - Groupe 1</t>
  </si>
  <si>
    <t>* en personnes physiques</t>
  </si>
  <si>
    <t>** indice majoré</t>
  </si>
  <si>
    <t>Tableau 46 - Part des femmes parmi les détenteurs de la carte de presse, 2000-2017</t>
  </si>
  <si>
    <t>Tableau 47 - Part des femmes parmi les expert.e.s / invité.e.s de certains programmes à la télévision et à la radio</t>
  </si>
  <si>
    <t>Média</t>
  </si>
  <si>
    <t>Emission</t>
  </si>
  <si>
    <t>Date</t>
  </si>
  <si>
    <t>Part des femmes l'année précédente</t>
  </si>
  <si>
    <t>Ensemble d'émissions (*), dont :</t>
  </si>
  <si>
    <t>C dans l'air</t>
  </si>
  <si>
    <t>ARTE</t>
  </si>
  <si>
    <t>Ensemble d'émissions (**), dont :</t>
  </si>
  <si>
    <t>Arte Journal</t>
  </si>
  <si>
    <t>Thema (***)</t>
  </si>
  <si>
    <t>X:enius</t>
  </si>
  <si>
    <t>Ensemble d'émissions (***)</t>
  </si>
  <si>
    <t>(*) :Périmètre CSA : JT, émissions de plateau et de débat sur les chaînes généralistes France 2, France 3, France 5 et France Ô, sur une période de deux mois.</t>
  </si>
  <si>
    <t>(**) : la chaîne ne comptabilise que les expertes et non les femmes invitées en tant que témoins.</t>
  </si>
  <si>
    <t>(***)  :total de 6230 invités sur le plateau (et non les expert.e.s interviewé.e.s dans les documentaires) des émissions suivantes retenues par le CSA pour le rapport relatif à la représentation des femmes à la télévision et à la radio : 
- sur l'intégralité de l'année 2018, 15 émissions (Grand bien vous fasse, La tête au carré, CO2 mon amour, La marche de l'histoire, Le téléphone sonne, Les petits bateaux, un jour dans le monde, L'invités des matins (1ère partie), Du grain à moudre,  Les enjeux internationaux, Affaires étrangères, Entendez-vous l'éco, Dimanche et après, Les informés, La tribune des critiques de disques);
- à partir de septembre 2018,  l’évolution du format des matins de France Culture rend inopérent le distinguo entre première et seconde partie invité 
D'une année à l'autre, le périmètre des emissions retenues peut évoluer en fonction de la liste retenue d'émission pour l'élaboration du rapport du CSA.</t>
  </si>
  <si>
    <t>Tableau 1 - Part des femmes dans les postes de direction du ministère de la Culture, 2014-2018</t>
  </si>
  <si>
    <t>Postes de directeur.rice.s d'administration centrale, chef.fe de l'inspection générale</t>
  </si>
  <si>
    <t>Directeur.rice général.e et Secrétaire général.e</t>
  </si>
  <si>
    <t>Autre (*)</t>
  </si>
  <si>
    <t>Postes d'encadrement d'administration centrale (hors postes de directeur.rice.s)</t>
  </si>
  <si>
    <t>Chef.fe de service</t>
  </si>
  <si>
    <t>Sous-directeur.rice</t>
  </si>
  <si>
    <t>Chef.fe de département</t>
  </si>
  <si>
    <t>Chef.fe de bureau</t>
  </si>
  <si>
    <t>48%***</t>
  </si>
  <si>
    <t>Directions régionales des affaires culturelles (DRAC)</t>
  </si>
  <si>
    <t>Directeur.rice régional.e</t>
  </si>
  <si>
    <t>Directeur.rice régional.e adjoint.e</t>
  </si>
  <si>
    <t>Directeur.rice régional.e adjoint.e exerçant les fonctions de reponsables de pôle (**)</t>
  </si>
  <si>
    <t>Secrétaire général.e</t>
  </si>
  <si>
    <t>(*) Directeur.rice général.e adjoint.e, secrétaire général.e adjoint.e, délégué.e général.e à la langue française et aux langues de France, chef.fe de l'inspection générale des affaires culturelles</t>
  </si>
  <si>
    <t>(**) Postes crées en 2016</t>
  </si>
  <si>
    <t>(***) : Les totaux antérieux à 2018 n'intégraient pas les postes de chefs de départements et de chefs de bureau, ce qui explique la forte variation du total entre 2017 et 2018</t>
  </si>
  <si>
    <t>Note : certains postes peuvent ne pas être pourvus à la date d'effet du tableau</t>
  </si>
  <si>
    <t>Tableau 2 – Part des femmes dans les postes de direction des services à compétence nationale, 2014-2017</t>
  </si>
  <si>
    <t>Directeur.rice</t>
  </si>
  <si>
    <t>Note : certains postes peuvent ne pas être pourvus à la date d'effet du tableau, dernières données disponibles</t>
  </si>
  <si>
    <t xml:space="preserve"> </t>
  </si>
  <si>
    <t>Tableau 3 – Part des femmes dans le poste de direction le plus élevé* des établissements publics, 2014-2018</t>
  </si>
  <si>
    <t>Domaine d'activité</t>
  </si>
  <si>
    <t>Musée, patrimoine (1)</t>
  </si>
  <si>
    <t>Spectacle vivant (2)</t>
  </si>
  <si>
    <t>Autre (3)</t>
  </si>
  <si>
    <t>Taille de l'établissement**</t>
  </si>
  <si>
    <t>Moins de 100 salariés</t>
  </si>
  <si>
    <t>100-499 salariés</t>
  </si>
  <si>
    <t>500 salariés ou plus</t>
  </si>
  <si>
    <t>(*) Président.e en cas d'existence d'un président.e exécutif ou Directeur.rice général.e/Directeur.rice sinon</t>
  </si>
  <si>
    <t>Tableau 4 – Part des femmes dans les postes de direction des établissements publics, 2014-2018</t>
  </si>
  <si>
    <t>Etablissements avec un.e président.e exécutif (hors enseignement)</t>
  </si>
  <si>
    <t>Directeur.rice général.e</t>
  </si>
  <si>
    <t>Etablissements sans un.e président.e exécutif (hors enseignement)</t>
  </si>
  <si>
    <t>Directeur.rice général.e ou administrateur.rice général.e</t>
  </si>
  <si>
    <t>Note : les établissements publics sont divisés en trois groupes : 20 établissements avec un.e président.e exécutif.ve  (BNF, CMN, CNAC-GP, CNC, CNL, CAPA, INA, INRAP, Universcience, EPMQB, EPPGHV, Mucem, Musée d'Orsay, Musée du Louvre, Château, musée et domaine national de Versailles, Musée des arts asiatiques Guimet, Musée Picasso, Château de Fontainebleau, OPPIC, RMN-GP) ; 19 établissements sans président.e exécutif.ve  (AFR, BPI, CNCVJ, CND, CNAP, Comédie-Française, Domaine national Chambord, Cité de la céramique Sèvres, INHA, Musée Rodin, Musée Henner-Moreau, Opéra Comique, Opéra national de Paris, Palais de la Porte Dorée-CNHI, Philarmonie, Théâtre national de Chaillot, Théâtre national de l'Odéon, Théâtre national de la Colline, Théâtre national de Strasbourg) et  36 relèvent de l'enseignement (20 écoles d'architecture, 6 écoles d'art en région, ENSBA, ENSAD, ENSCI, ENSMIS, CNSAD, CNSML, CNSMP, ENS photo Arles, École du Louvre et INP).</t>
  </si>
  <si>
    <r>
      <rPr>
        <sz val="8"/>
        <color theme="1"/>
        <rFont val="Arial"/>
        <family val="2"/>
      </rPr>
      <t>Note : Les données au premier janvier 2016 étaient calculées en prenant en compte la direction artistique des orchestres (où il n'y avait aucune femme), les données pour le 1</t>
    </r>
    <r>
      <rPr>
        <vertAlign val="superscript"/>
        <sz val="8"/>
        <color rgb="FF000000"/>
        <rFont val="Arial"/>
        <family val="2"/>
      </rPr>
      <t>er</t>
    </r>
    <r>
      <rPr>
        <sz val="8"/>
        <color theme="1"/>
        <rFont val="Arial"/>
        <family val="2"/>
      </rPr>
      <t>janvier 2017 prennent en compte les directeur.rice.s généraux des orchestres. Cette modification explique l'augmentation de la part des femmes dans la catégorie "Supérieur ou égal à 10 millions d'euros"</t>
    </r>
  </si>
  <si>
    <t xml:space="preserve">Tableau 35 : Répartition des aides accordées par le Centre national du livre aux auteurs et traducteurs par type de d'aide en 2018 </t>
  </si>
  <si>
    <t>Tableau 16 - Part des femmes dans les commissions du Centre national du cinéma et de l'image animée (CNC), 2013-2017</t>
  </si>
  <si>
    <t>Juin 2017</t>
  </si>
  <si>
    <t>Juin 2016</t>
  </si>
  <si>
    <t>Juin 2015</t>
  </si>
  <si>
    <t>Juin 2013</t>
  </si>
  <si>
    <t>Membres et membres suppléants</t>
  </si>
  <si>
    <t>Source : Centre national du cinéma et de l'image animée, 2018</t>
  </si>
  <si>
    <t>Nombre de projets aidés</t>
  </si>
  <si>
    <t>Répartition selon le sexe du réalisateur</t>
  </si>
  <si>
    <t>(*) Films coréalisés par des personnes de sexe diférent.</t>
  </si>
  <si>
    <t>Note : le nombre de demandes d'aides étant très important, il n'existe pas de répartition de celles-ci par sexe.</t>
  </si>
  <si>
    <t>Tableau 37 - Devis moyen des films d'initiative française, 2008-2016</t>
  </si>
  <si>
    <t>Devis moyen en millions d'euros en fonction du sexe du réalisateur</t>
  </si>
  <si>
    <t>Ecarts femmes / hommes</t>
  </si>
  <si>
    <t>Mixtes*</t>
  </si>
  <si>
    <t>Lecture : en 2016, le devis moyen des films d'initiative française réalisés par des femmes est de 2,58 millions d'euros, soit 60 % de moins que le devis moyen des films réalisés par des hommes (6,52 millions d'euros).</t>
  </si>
  <si>
    <t>Nombre de réalisateur·trice·s de courts métrages produits</t>
  </si>
  <si>
    <t>part de femmes</t>
  </si>
  <si>
    <t>Note : les années considérées sont les années d'agrément des investissements</t>
  </si>
  <si>
    <t>Tableau 44 - Part des femmes parmi les réalisateur.rice.s de longs métrages (films agréés), 2008-2017</t>
  </si>
  <si>
    <t>Nombre de films agréés</t>
  </si>
  <si>
    <t>2008</t>
  </si>
  <si>
    <t>2009</t>
  </si>
  <si>
    <t>2010</t>
  </si>
  <si>
    <t>2011</t>
  </si>
  <si>
    <t>2012</t>
  </si>
  <si>
    <t>2013</t>
  </si>
  <si>
    <t>Note : lorsqu'un film est coréalisé par des personnes de sexe différents, il est qualifié de mixte et compté une seule fois.</t>
  </si>
  <si>
    <t>Tableau 35 bis : Répartition des aides accordées par le Centre national du livre aux auteurs et traducteurs par domaine éditorial en 2018</t>
  </si>
  <si>
    <t>&lt; 18 ans</t>
  </si>
  <si>
    <t>18-24 ans</t>
  </si>
  <si>
    <t>25-34 ans</t>
  </si>
  <si>
    <t>35-44 ans</t>
  </si>
  <si>
    <t>45-54 ans</t>
  </si>
  <si>
    <t>55-64 ans</t>
  </si>
  <si>
    <t>65 ans ou +</t>
  </si>
  <si>
    <t>Tableau 61: Part des femmes par tranche d'âge en 2018.</t>
  </si>
  <si>
    <t xml:space="preserve">Note: Les données sont issues des Déclarations Nominatives des salaires (DNA 2015-2016 et DSN 2017) faites par les entreprises et relatives aux exercices considérés. Pour une année d'observation, nous ne considérons que les entreprises du secteur ayant déclaré du personnel à Audiens.
Remarque : Les données par individu sont dédoublonnées. Ainsi, si une année donnée, un individu a été déclaré par deux employeurs différents d'une même branche, il n'est compté qu'une seule fois.
</t>
  </si>
  <si>
    <t>production audiovisuelle</t>
  </si>
  <si>
    <t>Production audiovisuelle</t>
  </si>
  <si>
    <t>Production cinématographique</t>
  </si>
  <si>
    <t>Prestations techniques</t>
  </si>
  <si>
    <t>Radiodiffusion</t>
  </si>
  <si>
    <t>Spectacle vivant privé</t>
  </si>
  <si>
    <t>Spectacle vivant public</t>
  </si>
  <si>
    <t>Télédiffusion</t>
  </si>
  <si>
    <t>Production de films d'animation</t>
  </si>
  <si>
    <t>Distribution cinématographique</t>
  </si>
  <si>
    <t>Edition musicale</t>
  </si>
  <si>
    <t>écart Femmes/Hommes</t>
  </si>
  <si>
    <t>Tableau 43 - Part des femmes parmi les réalisateur.rice.s de courts métrages, 2009-2017</t>
  </si>
  <si>
    <t>Source : Ministère de la Culture, Sécrétariat général, Services des ressources humaines, 2017</t>
  </si>
  <si>
    <t>Tableau 38 - Répartition des spectacles programmés selon le sexe de la personne les ayant écrit, adapté, traduit, mis en scène, scénographié et chorégraphié, saison 2017-2018</t>
  </si>
  <si>
    <t>Tableau 19 : Part des femmes dans les membres et président.e.s des commissions du Centre national du livre en 2018</t>
  </si>
  <si>
    <r>
      <t xml:space="preserve">Tableau 36 - Bénéficiaires de l'avance sur recettes </t>
    </r>
    <r>
      <rPr>
        <b/>
        <u/>
        <sz val="8"/>
        <color rgb="FF000000"/>
        <rFont val="Arial"/>
        <family val="2"/>
      </rPr>
      <t>(avant réalisation)</t>
    </r>
    <r>
      <rPr>
        <b/>
        <sz val="8"/>
        <color rgb="FF000000"/>
        <rFont val="Arial"/>
        <family val="2"/>
      </rPr>
      <t xml:space="preserve"> du Centre national du cinéma et de l'image animée (CNC), 2008-2016</t>
    </r>
  </si>
  <si>
    <t>2015-2017</t>
  </si>
  <si>
    <t>Nombre d'actif.ve.s occupé.e.s</t>
  </si>
  <si>
    <t>Champ : Actifs en emploi, France métropolitaire pour la période 1990-2012, France pour 2015-2017.</t>
  </si>
  <si>
    <t>Ensemble des actif.ve.s en emploi</t>
  </si>
  <si>
    <t>Champ : Actifs en emploi, France métropolitaire pour la période 2008-2013 et France pour 2015-2017</t>
  </si>
  <si>
    <t>Tableau 12 – Composition des conseils d'administration des établissements publics (personnalités qualifiées uniquement), 2014-2018</t>
  </si>
  <si>
    <t>Taille de l'établissement</t>
  </si>
  <si>
    <t>Tableau 14 - Part des femmes dans les commissions et instances consultatives placées directement auprès du Ministère de la Culture et de la Communication, 2013-2017</t>
  </si>
  <si>
    <t>Au 1er janvier 2017*</t>
  </si>
  <si>
    <t>Part des femmes***</t>
  </si>
  <si>
    <t>Commissions relevant de** :</t>
  </si>
  <si>
    <t>Cabinet de la Ministre</t>
  </si>
  <si>
    <t>Secrétariat général</t>
  </si>
  <si>
    <t>Direction générale des patrimoines</t>
  </si>
  <si>
    <t>Direction générale de la création artistique</t>
  </si>
  <si>
    <t>Direction générale des médias et des industries culturelles</t>
  </si>
  <si>
    <t>(*) : Données sur les membres titulaires dans les commissions soumises à l'obligation de parité instaurée par la loi de 2014 (pour les commissions créées par la loi ou un décret, répartition parmi les membres titulaires désignés nominativement, hors membres de droit, hors commissions en cours de composition ou recomposition ou n’ayant pas fait l’objet d’un renouvellement depuis la date d’application de la loi, sauf renouvellement partiel)</t>
  </si>
  <si>
    <t>(**) : il s'agit ici de la Direction ou du service suivant principalement la commission en question</t>
  </si>
  <si>
    <t>(***) : Données sur la totalité des commissions</t>
  </si>
  <si>
    <t>Note : certaines femmes peuvent être présentes dans plusieurs commissions</t>
  </si>
  <si>
    <t>Tableau 22 - Ecart entre le salaire horaire moyen des femmes et des hommes dans les établissements publics du ministère de la Culture et de la Communication, 2014-2015</t>
  </si>
  <si>
    <t>Lecture : en 2015, parmi les salariés des établissements publics, le salaire horaire moyen des femmes est inférieur de 7,9 % à celui des hommes. Cet écart est de – 2,2 % chez les salariés âgés de 18 à 29 ans.</t>
  </si>
  <si>
    <t>Champ : ensemble des salaires pour les salariés dont l’emploi principal se situe au sein des établissements publics du ministère de la Culture et de la Communication.</t>
  </si>
  <si>
    <t>Tableau 23 - Part des femmes selon le niveau de rémunération dans les établissements publics du ministère de la Culture et de la Communication, 2014-2015</t>
  </si>
  <si>
    <t>Ensemble des salariés des établissements publics</t>
  </si>
  <si>
    <t>Lecture : 
- en 2015, parmi l'ensemble des salariés des établissements publics du ministère de la Culture et de la Communication, on compte 53  % de femmes
- en 2014, parmi les 1 % de salariés les mieux rémunérés de ces établissements, la part des femmes n'est plus que de 31 %</t>
  </si>
  <si>
    <t>Champ : ensemble des salaires pour les salariés dont l’emploi principal se situe au sein des établissements publics du ministère de la Culture et de la Communication</t>
  </si>
  <si>
    <t>Le critère de rémunération est le salaire horaire moyen</t>
  </si>
  <si>
    <t>Tableau 24 : écart entre le salaire horaire moyen des femmes et des hommes dans les entreprises de l’audiovisuel public, 2014-2015</t>
  </si>
  <si>
    <t>Lecture : en 2015, parmi les entreprises de l'audiovisuel public, le salaire horaire moyen des femmes est inférieur de 11 % à celui des hommes. Cet écart est de -7 % chez les salariés âgés de 18 à 29 ans</t>
  </si>
  <si>
    <t>Champ : ensemble des salaires pour les salariés dont l’emploi principal se situe au sein des entreprises de l’audiovisuel public</t>
  </si>
  <si>
    <t>Tableau 25 : Part des femmes selon le niveau de rémunération dans les entreprises de l’audiovisuel public, 2014-2015</t>
  </si>
  <si>
    <t>Lecture : 
- en 2015, parmi l'ensemble des salariés des entreprises de l'audiovisuel public, on compte 46 % de femmes
- en 2015, parmi les 1 % de salariés les mieux rémunérés de ces entreprises, la part des femmes n'est plus que de 27 %</t>
  </si>
  <si>
    <t>Source : Ministère de la Culture, Secrétariat général, Service des ressources humaines, 2019</t>
  </si>
  <si>
    <r>
      <t>Au 1</t>
    </r>
    <r>
      <rPr>
        <b/>
        <vertAlign val="superscript"/>
        <sz val="8"/>
        <color rgb="FF000000"/>
        <rFont val="Arial"/>
        <family val="2"/>
      </rPr>
      <t>er</t>
    </r>
    <r>
      <rPr>
        <b/>
        <sz val="8"/>
        <color rgb="FF000000"/>
        <rFont val="Arial"/>
        <family val="2"/>
      </rPr>
      <t>janvier 2019</t>
    </r>
  </si>
  <si>
    <t>Source : Ministère de la Culture, Sécrétariat général, département de l'action territoriale et département des études, de la prospective et des statistiques, 2018</t>
  </si>
  <si>
    <t>(1)CMN, CNAC-GP, CAPA, Universcience, Chambord, EPMQB, INHA, INRAP, Orsay, le Louvre, Château, musée et
domaine national de Versailles, Guimet, Mucem, Picasso, Fontainebleau, Rodin, Henner-Moreau, OPPIC, Palais de la
 Porte Dorée, RMN-GP, Sèvres-Céramique.</t>
  </si>
  <si>
    <t>(2)CND, CNCVJ, Comédie-Française, EPPGHV, Opéra comique, Opéra national de Paris, Philarmonie, Théâtre national
 de Chaillot, Théâtre national de l’Odéon, Théâtre national de  la Colline, Théâtre national de Strasbourg.</t>
  </si>
  <si>
    <t>(3)AFR, BNF, BPI, CNC, CNAP, CNL, INA</t>
  </si>
  <si>
    <r>
      <t>Au 1</t>
    </r>
    <r>
      <rPr>
        <b/>
        <vertAlign val="superscript"/>
        <sz val="8"/>
        <color rgb="FF000000"/>
        <rFont val="Arial"/>
        <family val="2"/>
      </rPr>
      <t>er</t>
    </r>
    <r>
      <rPr>
        <b/>
        <sz val="8"/>
        <color rgb="FF000000"/>
        <rFont val="Arial"/>
        <family val="2"/>
      </rPr>
      <t>janvier 2018</t>
    </r>
    <r>
      <rPr>
        <sz val="11"/>
        <color theme="1"/>
        <rFont val="Calibri"/>
        <family val="2"/>
        <scheme val="minor"/>
      </rPr>
      <t/>
    </r>
  </si>
  <si>
    <t>Source : Ministère de la Culture, Sécrétariat général, Services des ressources humaines, 2019</t>
  </si>
  <si>
    <t>Source : Ministère de la Culture, Direction générale des Patrimoines, Service des musées de France, 2019</t>
  </si>
  <si>
    <t>Source : Ministère de la Culture, Direction générale des médias et des industries culturelles, Entreprises de l'audiovisuel public, 2019</t>
  </si>
  <si>
    <t>Source :  Ministère de la Culture, Direction générale des médias et des industries culturelles, Entreprises de l'audiovisuel public, 2019</t>
  </si>
  <si>
    <t>Source : Ministère de la Culture, Direction générale des médias et des industries culturelles, Entreprises de l'audiovisuel public,  2019</t>
  </si>
  <si>
    <r>
      <t>Au 1</t>
    </r>
    <r>
      <rPr>
        <b/>
        <vertAlign val="superscript"/>
        <sz val="8"/>
        <color rgb="FF000000"/>
        <rFont val="Arial"/>
        <family val="2"/>
      </rPr>
      <t>er</t>
    </r>
    <r>
      <rPr>
        <b/>
        <sz val="8"/>
        <color rgb="FF000000"/>
        <rFont val="Arial"/>
        <family val="2"/>
      </rPr>
      <t>janvier 2019 (2)</t>
    </r>
  </si>
  <si>
    <r>
      <t>Au 1</t>
    </r>
    <r>
      <rPr>
        <b/>
        <vertAlign val="superscript"/>
        <sz val="8"/>
        <color rgb="FF000000"/>
        <rFont val="Arial"/>
        <family val="2"/>
      </rPr>
      <t>er</t>
    </r>
    <r>
      <rPr>
        <b/>
        <sz val="8"/>
        <color rgb="FF000000"/>
        <rFont val="Arial"/>
        <family val="2"/>
      </rPr>
      <t>janvier 2018 (1)</t>
    </r>
  </si>
  <si>
    <r>
      <t>Au 1</t>
    </r>
    <r>
      <rPr>
        <b/>
        <vertAlign val="superscript"/>
        <sz val="8"/>
        <color rgb="FF000000"/>
        <rFont val="Arial"/>
        <family val="2"/>
      </rPr>
      <t>er</t>
    </r>
    <r>
      <rPr>
        <b/>
        <sz val="8"/>
        <color rgb="FF000000"/>
        <rFont val="Arial"/>
        <family val="2"/>
      </rPr>
      <t>janvier 2017 (1)</t>
    </r>
  </si>
  <si>
    <t>Source :  Ministère de la Culture et de la Communication, Direction générale des médias et des industries culturelles, Entreprises de l'audiovisuel public, 2019</t>
  </si>
  <si>
    <t>(1)CMN, CNAP-GP, CAPA, Universcience, Chambord, EPMQB, INHA, INRAP, Orsay, le Louvre, Château, musée et domaine national de Versailles, Guimet, Mucem, Picasso, Fontainebleau, Rodin, Henner-Moreau, OPPIC, Palais de la Porte Dorée, RMN-GP, Sèvres-Céramique.</t>
  </si>
  <si>
    <t>(2)CND, CNCVJ, Comédie-Française, EPPGHV, Opéra comique, Opéra national de Paris, Philarmonie, Théâtre national de Chaillot, Théâtre national de l’Odéon, Théâtre national de  la Colline, Théâtre national de Strasbourg.</t>
  </si>
  <si>
    <t>(3)AFR, BNF, BPI, CNC, CNAP, CNL, INA, Villa Arson</t>
  </si>
  <si>
    <r>
      <t>Au 1</t>
    </r>
    <r>
      <rPr>
        <b/>
        <vertAlign val="superscript"/>
        <sz val="8"/>
        <color rgb="FF000000"/>
        <rFont val="Arial"/>
        <family val="2"/>
      </rPr>
      <t>er</t>
    </r>
    <r>
      <rPr>
        <b/>
        <sz val="8"/>
        <color rgb="FF000000"/>
        <rFont val="Arial"/>
        <family val="2"/>
      </rPr>
      <t>janvier 2017</t>
    </r>
    <r>
      <rPr>
        <sz val="11"/>
        <color theme="1"/>
        <rFont val="Calibri"/>
        <family val="2"/>
        <scheme val="minor"/>
      </rPr>
      <t/>
    </r>
  </si>
  <si>
    <t>Source :  Ministère de la Culture, Direction générale des médias et des industries culturelles, Entreprises de l'audiovisuel public  2019</t>
  </si>
  <si>
    <t>Source : Ministère de la Culture, Secrétariat général, 2019</t>
  </si>
  <si>
    <t>Source : Centre national des arts plastiques, Ministère de la Culture, Secrétariat général, DEPS, 2019</t>
  </si>
  <si>
    <r>
      <rPr>
        <sz val="8"/>
        <color theme="1"/>
        <rFont val="Arial"/>
        <family val="2"/>
      </rPr>
      <t>Note : Ne sont pas recensés dans ce tableau
- les agents contractuels art. 6</t>
    </r>
    <r>
      <rPr>
        <i/>
        <sz val="8"/>
        <color rgb="FF000000"/>
        <rFont val="Arial"/>
        <family val="2"/>
      </rPr>
      <t>quater</t>
    </r>
    <r>
      <rPr>
        <sz val="8"/>
        <color theme="1"/>
        <rFont val="Arial"/>
        <family val="2"/>
      </rPr>
      <t>,</t>
    </r>
    <r>
      <rPr>
        <i/>
        <sz val="8"/>
        <color rgb="FF000000"/>
        <rFont val="Arial"/>
        <family val="2"/>
      </rPr>
      <t>quinquiès</t>
    </r>
    <r>
      <rPr>
        <sz val="8"/>
        <color theme="1"/>
        <rFont val="Arial"/>
        <family val="2"/>
      </rPr>
      <t>et</t>
    </r>
    <r>
      <rPr>
        <i/>
        <sz val="8"/>
        <color rgb="FF000000"/>
        <rFont val="Arial"/>
        <family val="2"/>
      </rPr>
      <t>sexies</t>
    </r>
    <r>
      <rPr>
        <sz val="8"/>
        <color theme="1"/>
        <rFont val="Arial"/>
        <family val="2"/>
      </rPr>
      <t> ;
- les agents contractuels d’autres ministères en position normale d’activité (PNA) ;
- les agents contractuels de la filière enseignement ;
- les agents contractuels CDAPH (commission des droits et de l’autonomie des personnes handicapées) ; 
- les agents contractuels Hors groupe (groupe 6) ;
- les agents contractuels du titre 3 ;
- les personnels titulaires détachés sur contrat ;
- les personnels recrutés au titre de la loi dite « Berkani ».</t>
    </r>
  </si>
  <si>
    <t>Source :  Ministère de la Culture, Secrétariat général, Département des études, de la prospective et des statistiques, Insee (déclaration annuelles de données sociales), 2018</t>
  </si>
  <si>
    <t>Source : Ministère de la Culture, Secrétariat général, Département des études, de la prospective et des statistiques, Insee (déclaration annuelles de données sociales), 2018</t>
  </si>
  <si>
    <t>Source :  Ministère de la Culture, Secrétariat général, Département des études, de la prospective et des statistiques,  Insee (déclaration annuelles de données sociales), 2018</t>
  </si>
  <si>
    <t>Source :  Ministère de la Culture, Secrétariat général, Département des études, de la prospective et des statistiques, Insee (déclaration annuelles de données sociales), 2018</t>
  </si>
  <si>
    <t>Source : Ministère de la culture, Secrétariat général, Services des ressources humaines, 2019</t>
  </si>
  <si>
    <t>Source : Ministère de la Culture, Observatoire de l'archéologie, 2019</t>
  </si>
  <si>
    <t>Source :  Ministère de la Culture, DEPS, Service interministériel des archives de France, 2019</t>
  </si>
  <si>
    <r>
      <rPr>
        <b/>
        <sz val="8"/>
        <rFont val="Arial"/>
        <family val="2"/>
      </rPr>
      <t xml:space="preserve">NB </t>
    </r>
    <r>
      <rPr>
        <sz val="8"/>
        <rFont val="Arial"/>
        <family val="2"/>
      </rPr>
      <t xml:space="preserve">: attention, la base d'analyse change entre 2017 et 2018. </t>
    </r>
  </si>
  <si>
    <r>
      <t>Au 1</t>
    </r>
    <r>
      <rPr>
        <b/>
        <vertAlign val="superscript"/>
        <sz val="8"/>
        <color rgb="FF000000"/>
        <rFont val="Arial"/>
        <family val="2"/>
      </rPr>
      <t>er</t>
    </r>
    <r>
      <rPr>
        <b/>
        <sz val="8"/>
        <color rgb="FF000000"/>
        <rFont val="Arial"/>
        <family val="2"/>
      </rPr>
      <t xml:space="preserve"> janvier 2019</t>
    </r>
  </si>
  <si>
    <r>
      <t>Au 1</t>
    </r>
    <r>
      <rPr>
        <b/>
        <vertAlign val="superscript"/>
        <sz val="8"/>
        <color rgb="FF000000"/>
        <rFont val="Arial"/>
        <family val="2"/>
      </rPr>
      <t>er</t>
    </r>
    <r>
      <rPr>
        <b/>
        <sz val="8"/>
        <color rgb="FF000000"/>
        <rFont val="Arial"/>
        <family val="2"/>
      </rPr>
      <t xml:space="preserve"> janvier 2018</t>
    </r>
  </si>
  <si>
    <r>
      <t>Au 1</t>
    </r>
    <r>
      <rPr>
        <b/>
        <vertAlign val="superscript"/>
        <sz val="8"/>
        <color rgb="FF000000"/>
        <rFont val="Arial"/>
        <family val="2"/>
      </rPr>
      <t xml:space="preserve">er </t>
    </r>
    <r>
      <rPr>
        <b/>
        <sz val="8"/>
        <color rgb="FF000000"/>
        <rFont val="Arial"/>
        <family val="2"/>
      </rPr>
      <t>janvier 2017</t>
    </r>
  </si>
  <si>
    <r>
      <t>Au 1</t>
    </r>
    <r>
      <rPr>
        <b/>
        <vertAlign val="superscript"/>
        <sz val="8"/>
        <color rgb="FF000000"/>
        <rFont val="Arial"/>
        <family val="2"/>
      </rPr>
      <t xml:space="preserve">er </t>
    </r>
    <r>
      <rPr>
        <b/>
        <sz val="8"/>
        <color rgb="FF000000"/>
        <rFont val="Arial"/>
        <family val="2"/>
      </rPr>
      <t>janvier 2016</t>
    </r>
  </si>
  <si>
    <r>
      <t>Au 1</t>
    </r>
    <r>
      <rPr>
        <b/>
        <vertAlign val="superscript"/>
        <sz val="8"/>
        <color rgb="FF000000"/>
        <rFont val="Arial"/>
        <family val="2"/>
      </rPr>
      <t xml:space="preserve">er </t>
    </r>
    <r>
      <rPr>
        <b/>
        <sz val="8"/>
        <color rgb="FF000000"/>
        <rFont val="Arial"/>
        <family val="2"/>
      </rPr>
      <t>janvier 2015</t>
    </r>
  </si>
  <si>
    <r>
      <t>Au 1</t>
    </r>
    <r>
      <rPr>
        <b/>
        <vertAlign val="superscript"/>
        <sz val="8"/>
        <color rgb="FF000000"/>
        <rFont val="Arial"/>
        <family val="2"/>
      </rPr>
      <t xml:space="preserve">er </t>
    </r>
    <r>
      <rPr>
        <b/>
        <sz val="8"/>
        <color rgb="FF000000"/>
        <rFont val="Arial"/>
        <family val="2"/>
      </rPr>
      <t>janvier 2014</t>
    </r>
  </si>
  <si>
    <t>Source : Ministère de la Culture et de la Communication, Secrétariat général, département des études de la prospective et des statistiques, Insee (Esane), 2019</t>
  </si>
  <si>
    <t>Source :  Ministre de la Culture, Direction générale de la création artistique,  Les Archives du spectacle, 2019</t>
  </si>
  <si>
    <r>
      <t xml:space="preserve">Source : </t>
    </r>
    <r>
      <rPr>
        <sz val="8"/>
        <rFont val="Arial"/>
        <family val="2"/>
      </rPr>
      <t>Réunion des musées nationaux Grand Palais, M</t>
    </r>
    <r>
      <rPr>
        <sz val="8"/>
        <color theme="1"/>
        <rFont val="Arial"/>
        <family val="2"/>
      </rPr>
      <t>inistère de la Culture, Direction générale des patrimoines, 2019</t>
    </r>
  </si>
  <si>
    <t>Source : Données Observatoire des métiers de la presse, Afdas - CCIJP, 2019</t>
  </si>
  <si>
    <t>Source :  Ministère de la Culture, Direction générale des médias et des industries culturelles, Entreprises de l'audiovisuel public, 2018</t>
  </si>
  <si>
    <t>Source :  Opérateur de Compétences des secteurs de la culture, des médias, de la communication, des loisirs et fonds de formation des artistes auteurs, afdas, 2019</t>
  </si>
  <si>
    <t>Source : Ministère de la Culture, Secrétariat général, Département des études, de la prospective et des statistiques, Enquête annuelle sur l'insertion des diplômés de l'enseignement supérieur Culture, 2018</t>
  </si>
  <si>
    <t>Source :  Ministère de la Culture, Secrétariat général, Département des études, de la prospective et des statistiques, enquêtes Emploi, Insee,  2019</t>
  </si>
  <si>
    <r>
      <t xml:space="preserve">Part des femmes </t>
    </r>
    <r>
      <rPr>
        <i/>
        <sz val="8"/>
        <color rgb="FF000000"/>
        <rFont val="Arial"/>
        <family val="2"/>
      </rPr>
      <t>(%)</t>
    </r>
  </si>
  <si>
    <t>Source : Traitements Deps, Audiens 2019</t>
  </si>
  <si>
    <t>Tableau 62 – Part des femmes dans les métiers de l’audiovisuel et âge moyen en 2016</t>
  </si>
  <si>
    <t>Source : Observatoire des métiers de l'audiovisuel, Afdas - CPNEF de l'audiovisuel, à partir des données Audiens, 2019</t>
  </si>
  <si>
    <t>Source : Ministère de la Culture, Secrétariat général, Département des études, de la prospective et des statistiques, enquêtes Emploi, Insee, 2019</t>
  </si>
  <si>
    <t>Source :  Ministère de la Culture, Secrétariat général, Département des études, de la prospective et des statistiques, Maison des artistes, Agessa, 2019</t>
  </si>
  <si>
    <t>Source :  Bilan social, INRAP, 2017</t>
  </si>
  <si>
    <t>Source : Ministère de la Culture, Secrétariat général, Département des études, de la prospective et des statistiques, Déclaration annuelles de données sociales Insee, 2018</t>
  </si>
  <si>
    <t>Source : Ministère de la Culture, Secrétariat général, Département des études, de la prospective et des statistiques, Insee (déclaration annuelles de données sociales), 2018</t>
  </si>
  <si>
    <t>Source: Audiens, traitements Deps, 2019</t>
  </si>
  <si>
    <t>Source : Les Archives du spectacle, Ministre de la Culture, Direction générale de la création artistique, 2019</t>
  </si>
  <si>
    <t xml:space="preserve">Tableau 70 - Salariés permanents du spectacle : Revenu annuel moyen brut par équivalent temps plein (ETP)
</t>
  </si>
  <si>
    <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</si>
</sst>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 _€_-;\-* #,##0.00\ _€_-;_-* &quot;-&quot;??\ _€_-;_-@_-"/>
    <numFmt numFmtId="164" formatCode="0.0%"/>
    <numFmt numFmtId="165" formatCode="_-* #,##0\ _€_-;\-* #,##0\ _€_-;_-* &quot;-&quot;??\ _€_-;_-@_-"/>
    <numFmt numFmtId="166" formatCode="\ * #,##0.00&quot;    &quot;;\-* #,##0.00&quot;    &quot;;\ * \-#&quot;    &quot;;@\ "/>
    <numFmt numFmtId="167" formatCode="\ * #,##0&quot;    &quot;;\-* #,##0&quot;    &quot;;\ * \-#&quot;    &quot;;@\ "/>
    <numFmt numFmtId="168" formatCode="#,##0.0"/>
    <numFmt numFmtId="169" formatCode="0.0"/>
    <numFmt numFmtId="170" formatCode="[$-40C]General"/>
    <numFmt numFmtId="171" formatCode="[$-40C]0%"/>
    <numFmt numFmtId="172" formatCode="[$-40C]0"/>
    <numFmt numFmtId="173" formatCode="#,##0\ &quot;€&quot;"/>
    <numFmt numFmtId="174" formatCode="#,##0\ [$€-40C];[Red]\-#,##0\ [$€-40C]"/>
    <numFmt numFmtId="175" formatCode="0.00,,"/>
  </numFmts>
  <fonts count="35" x14ac:knownFonts="1">
    <font>
      <sz val="11"/>
      <color theme="1"/>
      <name val="Calibri"/>
      <family val="2"/>
      <scheme val="minor"/>
    </font>
    <font>
      <sz val="11"/>
      <color rgb="FF000000"/>
      <name val="Calibri"/>
      <family val="2"/>
    </font>
    <font>
      <b/>
      <sz val="11"/>
      <color rgb="FF000000"/>
      <name val="Calibri"/>
      <family val="2"/>
    </font>
    <font>
      <sz val="10"/>
      <name val="Arial"/>
      <family val="2"/>
    </font>
    <font>
      <sz val="11"/>
      <color theme="1"/>
      <name val="Calibri"/>
      <family val="2"/>
      <scheme val="minor"/>
    </font>
    <font>
      <sz val="11"/>
      <color rgb="FF000000"/>
      <name val="Arial"/>
      <family val="2"/>
    </font>
    <font>
      <sz val="10"/>
      <name val="Verdana"/>
      <family val="2"/>
    </font>
    <font>
      <sz val="11"/>
      <color indexed="8"/>
      <name val="Calibri"/>
      <family val="2"/>
    </font>
    <font>
      <b/>
      <sz val="8"/>
      <color rgb="FF000000"/>
      <name val="Arial"/>
      <family val="2"/>
    </font>
    <font>
      <sz val="8"/>
      <color theme="1"/>
      <name val="Arial"/>
      <family val="2"/>
    </font>
    <font>
      <b/>
      <vertAlign val="superscript"/>
      <sz val="8"/>
      <color rgb="FF000000"/>
      <name val="Arial"/>
      <family val="2"/>
    </font>
    <font>
      <b/>
      <sz val="8"/>
      <color theme="1"/>
      <name val="Arial"/>
      <family val="2"/>
    </font>
    <font>
      <sz val="8"/>
      <color rgb="FF000000"/>
      <name val="Arial"/>
      <family val="2"/>
    </font>
    <font>
      <sz val="8"/>
      <color rgb="FFFF0000"/>
      <name val="Arial"/>
      <family val="2"/>
    </font>
    <font>
      <sz val="8"/>
      <name val="Arial"/>
      <family val="2"/>
    </font>
    <font>
      <b/>
      <sz val="8"/>
      <name val="Arial"/>
      <family val="2"/>
    </font>
    <font>
      <b/>
      <sz val="8"/>
      <color rgb="FFFF3333"/>
      <name val="Arial"/>
      <family val="2"/>
    </font>
    <font>
      <i/>
      <sz val="8"/>
      <color theme="1"/>
      <name val="Arial"/>
      <family val="2"/>
    </font>
    <font>
      <b/>
      <sz val="8"/>
      <color rgb="FFFF0000"/>
      <name val="Arial"/>
      <family val="2"/>
    </font>
    <font>
      <sz val="8"/>
      <color indexed="8"/>
      <name val="Arial"/>
      <family val="2"/>
    </font>
    <font>
      <vertAlign val="superscript"/>
      <sz val="8"/>
      <color rgb="FF000000"/>
      <name val="Arial"/>
      <family val="2"/>
    </font>
    <font>
      <sz val="8"/>
      <color theme="6"/>
      <name val="Arial"/>
      <family val="2"/>
    </font>
    <font>
      <b/>
      <sz val="8"/>
      <color theme="6"/>
      <name val="Arial"/>
      <family val="2"/>
    </font>
    <font>
      <b/>
      <i/>
      <sz val="8"/>
      <color rgb="FF000000"/>
      <name val="Arial"/>
      <family val="2"/>
    </font>
    <font>
      <i/>
      <sz val="8"/>
      <color rgb="FF000000"/>
      <name val="Arial"/>
      <family val="2"/>
    </font>
    <font>
      <sz val="8"/>
      <color rgb="FF7030A0"/>
      <name val="Arial"/>
      <family val="2"/>
    </font>
    <font>
      <b/>
      <sz val="8"/>
      <color rgb="FF7030A0"/>
      <name val="Arial"/>
      <family val="2"/>
    </font>
    <font>
      <sz val="8"/>
      <color theme="2" tint="-9.9978637043366805E-2"/>
      <name val="Arial"/>
      <family val="2"/>
    </font>
    <font>
      <sz val="8"/>
      <color theme="2"/>
      <name val="Arial"/>
      <family val="2"/>
    </font>
    <font>
      <sz val="8"/>
      <color theme="2" tint="-0.249977111117893"/>
      <name val="Arial"/>
      <family val="2"/>
    </font>
    <font>
      <sz val="8"/>
      <name val="Tahoma"/>
      <family val="2"/>
    </font>
    <font>
      <b/>
      <u/>
      <sz val="8"/>
      <color rgb="FF000000"/>
      <name val="Arial"/>
      <family val="2"/>
    </font>
    <font>
      <i/>
      <sz val="8"/>
      <name val="Arial"/>
      <family val="2"/>
    </font>
    <font>
      <b/>
      <i/>
      <sz val="8"/>
      <name val="Arial"/>
      <family val="2"/>
    </font>
    <font>
      <b/>
      <sz val="8"/>
      <color rgb="FF817569"/>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CCCC"/>
        <bgColor rgb="FFD9D9D9"/>
      </patternFill>
    </fill>
    <fill>
      <patternFill patternType="solid">
        <fgColor rgb="FFB2B2B2"/>
        <bgColor rgb="FFCCCCCC"/>
      </patternFill>
    </fill>
    <fill>
      <patternFill patternType="solid">
        <fgColor rgb="FFDDDDDD"/>
        <bgColor rgb="FFD9D9D9"/>
      </patternFill>
    </fill>
    <fill>
      <patternFill patternType="solid">
        <fgColor theme="2" tint="-0.249977111117893"/>
        <bgColor indexed="64"/>
      </patternFill>
    </fill>
    <fill>
      <patternFill patternType="solid">
        <fgColor theme="7" tint="0.39997558519241921"/>
        <bgColor rgb="FFD9D9D9"/>
      </patternFill>
    </fill>
    <fill>
      <patternFill patternType="solid">
        <fgColor theme="7" tint="0.79998168889431442"/>
        <bgColor indexed="64"/>
      </patternFill>
    </fill>
    <fill>
      <patternFill patternType="solid">
        <fgColor rgb="FFDAE3F3"/>
        <bgColor rgb="FFDDDDDD"/>
      </patternFill>
    </fill>
    <fill>
      <patternFill patternType="solid">
        <fgColor rgb="FFFFFFFF"/>
        <bgColor rgb="FFFFFFCC"/>
      </patternFill>
    </fill>
    <fill>
      <patternFill patternType="solid">
        <fgColor theme="0"/>
        <bgColor rgb="FFC0C0C0"/>
      </patternFill>
    </fill>
    <fill>
      <patternFill patternType="solid">
        <fgColor theme="0"/>
        <bgColor rgb="FFDDDDDD"/>
      </patternFill>
    </fill>
    <fill>
      <patternFill patternType="solid">
        <fgColor theme="0"/>
        <bgColor rgb="FFD9D9D9"/>
      </patternFill>
    </fill>
    <fill>
      <patternFill patternType="solid">
        <fgColor theme="0"/>
        <bgColor theme="4" tint="0.79998168889431442"/>
      </patternFill>
    </fill>
    <fill>
      <patternFill patternType="solid">
        <fgColor theme="8" tint="0.59999389629810485"/>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top/>
      <bottom/>
      <diagonal/>
    </border>
    <border>
      <left/>
      <right/>
      <top style="hair">
        <color auto="1"/>
      </top>
      <bottom/>
      <diagonal/>
    </border>
    <border>
      <left style="hair">
        <color auto="1"/>
      </left>
      <right style="hair">
        <color auto="1"/>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right/>
      <top style="hair">
        <color indexed="64"/>
      </top>
      <bottom style="hair">
        <color indexed="64"/>
      </bottom>
      <diagonal/>
    </border>
    <border>
      <left/>
      <right/>
      <top style="hair">
        <color indexed="64"/>
      </top>
      <bottom style="thin">
        <color indexed="64"/>
      </bottom>
      <diagonal/>
    </border>
    <border>
      <left style="thin">
        <color rgb="FF595959"/>
      </left>
      <right style="thin">
        <color rgb="FF595959"/>
      </right>
      <top/>
      <bottom/>
      <diagonal/>
    </border>
    <border>
      <left/>
      <right/>
      <top style="thin">
        <color indexed="8"/>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style="thin">
        <color indexed="64"/>
      </bottom>
      <diagonal/>
    </border>
    <border>
      <left style="thin">
        <color indexed="64"/>
      </left>
      <right style="thin">
        <color rgb="FF595959"/>
      </right>
      <top/>
      <bottom/>
      <diagonal/>
    </border>
    <border>
      <left style="thin">
        <color rgb="FF595959"/>
      </left>
      <right style="thin">
        <color indexed="64"/>
      </right>
      <top/>
      <bottom/>
      <diagonal/>
    </border>
    <border>
      <left style="thin">
        <color indexed="64"/>
      </left>
      <right style="thin">
        <color rgb="FF595959"/>
      </right>
      <top/>
      <bottom style="thin">
        <color indexed="64"/>
      </bottom>
      <diagonal/>
    </border>
    <border>
      <left style="thin">
        <color rgb="FF595959"/>
      </left>
      <right style="thin">
        <color rgb="FF595959"/>
      </right>
      <top/>
      <bottom style="thin">
        <color indexed="64"/>
      </bottom>
      <diagonal/>
    </border>
    <border>
      <left style="thin">
        <color rgb="FF595959"/>
      </left>
      <right style="thin">
        <color indexed="64"/>
      </right>
      <top/>
      <bottom style="thin">
        <color indexed="64"/>
      </bottom>
      <diagonal/>
    </border>
    <border>
      <left/>
      <right style="thin">
        <color indexed="64"/>
      </right>
      <top style="thin">
        <color indexed="8"/>
      </top>
      <bottom style="hair">
        <color indexed="8"/>
      </bottom>
      <diagonal/>
    </border>
    <border>
      <left/>
      <right style="thin">
        <color indexed="64"/>
      </right>
      <top style="hair">
        <color indexed="8"/>
      </top>
      <bottom style="hair">
        <color indexed="8"/>
      </bottom>
      <diagonal/>
    </border>
    <border>
      <left/>
      <right style="thin">
        <color indexed="64"/>
      </right>
      <top style="hair">
        <color indexed="8"/>
      </top>
      <bottom style="thin">
        <color indexed="8"/>
      </bottom>
      <diagonal/>
    </border>
    <border>
      <left/>
      <right style="thin">
        <color indexed="64"/>
      </right>
      <top/>
      <bottom style="hair">
        <color auto="1"/>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style="hair">
        <color rgb="FF00000A"/>
      </left>
      <right style="hair">
        <color rgb="FF00000A"/>
      </right>
      <top style="hair">
        <color rgb="FF00000A"/>
      </top>
      <bottom style="hair">
        <color rgb="FF00000A"/>
      </bottom>
      <diagonal/>
    </border>
    <border>
      <left/>
      <right style="hair">
        <color rgb="FF00000A"/>
      </right>
      <top style="hair">
        <color rgb="FF00000A"/>
      </top>
      <bottom style="hair">
        <color rgb="FF00000A"/>
      </bottom>
      <diagonal/>
    </border>
    <border>
      <left style="hair">
        <color rgb="FF00000A"/>
      </left>
      <right style="hair">
        <color rgb="FF00000A"/>
      </right>
      <top/>
      <bottom style="hair">
        <color rgb="FF00000A"/>
      </bottom>
      <diagonal/>
    </border>
    <border>
      <left/>
      <right style="hair">
        <color rgb="FF00000A"/>
      </right>
      <top/>
      <bottom style="hair">
        <color rgb="FF00000A"/>
      </bottom>
      <diagonal/>
    </border>
    <border>
      <left style="hair">
        <color rgb="FF00000A"/>
      </left>
      <right style="hair">
        <color rgb="FF00000A"/>
      </right>
      <top/>
      <bottom/>
      <diagonal/>
    </border>
    <border>
      <left/>
      <right style="hair">
        <color rgb="FF00000A"/>
      </right>
      <top/>
      <bottom/>
      <diagonal/>
    </border>
    <border>
      <left/>
      <right/>
      <top style="thin">
        <color auto="1"/>
      </top>
      <bottom/>
      <diagonal/>
    </border>
    <border>
      <left/>
      <right/>
      <top style="thin">
        <color auto="1"/>
      </top>
      <bottom style="thin">
        <color auto="1"/>
      </bottom>
      <diagonal/>
    </border>
  </borders>
  <cellStyleXfs count="17">
    <xf numFmtId="0" fontId="0" fillId="0" borderId="0"/>
    <xf numFmtId="0" fontId="1" fillId="0" borderId="0"/>
    <xf numFmtId="9" fontId="1"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166" fontId="1" fillId="0" borderId="0" applyBorder="0" applyAlignment="0" applyProtection="0"/>
    <xf numFmtId="0" fontId="1" fillId="0" borderId="0"/>
    <xf numFmtId="0" fontId="3" fillId="0" borderId="0"/>
    <xf numFmtId="9" fontId="1" fillId="0" borderId="0" applyBorder="0" applyAlignment="0" applyProtection="0"/>
    <xf numFmtId="170" fontId="1" fillId="0" borderId="0" applyBorder="0" applyProtection="0"/>
    <xf numFmtId="0" fontId="5" fillId="0" borderId="0"/>
    <xf numFmtId="0" fontId="6" fillId="0" borderId="0"/>
    <xf numFmtId="0" fontId="7" fillId="0" borderId="0" applyFill="0" applyProtection="0"/>
    <xf numFmtId="0" fontId="30" fillId="0" borderId="0"/>
    <xf numFmtId="9" fontId="30" fillId="0" borderId="0" applyFont="0" applyFill="0" applyBorder="0" applyAlignment="0" applyProtection="0"/>
    <xf numFmtId="43" fontId="1" fillId="0" borderId="0" applyFont="0" applyFill="0" applyBorder="0" applyAlignment="0" applyProtection="0"/>
  </cellStyleXfs>
  <cellXfs count="775">
    <xf numFmtId="0" fontId="0" fillId="0" borderId="0" xfId="0"/>
    <xf numFmtId="0" fontId="8" fillId="0" borderId="0" xfId="0" applyFont="1"/>
    <xf numFmtId="0" fontId="9" fillId="0" borderId="0" xfId="0" applyFont="1"/>
    <xf numFmtId="0" fontId="8" fillId="0" borderId="0" xfId="0" applyFont="1" applyAlignment="1">
      <alignment wrapText="1"/>
    </xf>
    <xf numFmtId="0" fontId="9" fillId="0" borderId="0" xfId="0" applyFont="1" applyBorder="1"/>
    <xf numFmtId="9" fontId="9" fillId="0" borderId="0" xfId="0" applyNumberFormat="1" applyFont="1"/>
    <xf numFmtId="9" fontId="11" fillId="0" borderId="0" xfId="0" applyNumberFormat="1" applyFont="1"/>
    <xf numFmtId="9" fontId="8" fillId="0" borderId="0" xfId="3" applyFont="1" applyAlignment="1">
      <alignment horizontal="center"/>
    </xf>
    <xf numFmtId="9" fontId="12" fillId="0" borderId="0" xfId="0" applyNumberFormat="1" applyFont="1" applyBorder="1" applyAlignment="1">
      <alignment horizontal="center"/>
    </xf>
    <xf numFmtId="9" fontId="8" fillId="0" borderId="0" xfId="0" applyNumberFormat="1" applyFont="1" applyBorder="1" applyAlignment="1">
      <alignment horizontal="center"/>
    </xf>
    <xf numFmtId="0" fontId="9" fillId="0" borderId="0" xfId="0" applyFont="1" applyFill="1" applyBorder="1"/>
    <xf numFmtId="0" fontId="8" fillId="0" borderId="0" xfId="0" applyFont="1" applyBorder="1"/>
    <xf numFmtId="9" fontId="8" fillId="0" borderId="0" xfId="0" applyNumberFormat="1" applyFont="1"/>
    <xf numFmtId="0" fontId="13" fillId="0" borderId="0" xfId="0" applyFont="1"/>
    <xf numFmtId="0" fontId="11" fillId="0" borderId="0" xfId="0" applyFont="1" applyAlignment="1">
      <alignment horizontal="center" vertical="center"/>
    </xf>
    <xf numFmtId="0" fontId="11" fillId="0" borderId="0" xfId="0" applyFont="1"/>
    <xf numFmtId="0" fontId="11" fillId="0" borderId="11" xfId="0" applyFont="1" applyBorder="1"/>
    <xf numFmtId="0" fontId="9" fillId="0" borderId="0" xfId="0" applyFont="1" applyAlignment="1">
      <alignment horizontal="center" vertical="center"/>
    </xf>
    <xf numFmtId="9" fontId="11" fillId="0" borderId="11" xfId="3" applyFont="1" applyBorder="1" applyAlignment="1">
      <alignment horizontal="center" vertical="center"/>
    </xf>
    <xf numFmtId="0" fontId="8" fillId="0" borderId="0" xfId="1" applyFont="1"/>
    <xf numFmtId="0" fontId="12" fillId="0" borderId="0" xfId="1" applyFont="1"/>
    <xf numFmtId="0" fontId="8" fillId="0" borderId="9" xfId="1" applyFont="1" applyBorder="1"/>
    <xf numFmtId="0" fontId="8" fillId="0" borderId="10" xfId="1" applyFont="1" applyBorder="1"/>
    <xf numFmtId="0" fontId="12" fillId="0" borderId="11" xfId="1" applyFont="1" applyBorder="1"/>
    <xf numFmtId="0" fontId="8" fillId="0" borderId="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0" xfId="1" applyFont="1" applyBorder="1"/>
    <xf numFmtId="0" fontId="8" fillId="0" borderId="11" xfId="1" applyFont="1" applyBorder="1" applyAlignment="1">
      <alignment wrapText="1"/>
    </xf>
    <xf numFmtId="0" fontId="8" fillId="0" borderId="9" xfId="1" applyFont="1" applyBorder="1" applyAlignment="1">
      <alignment wrapText="1"/>
    </xf>
    <xf numFmtId="0" fontId="12" fillId="0" borderId="0" xfId="1" applyFont="1" applyBorder="1"/>
    <xf numFmtId="9" fontId="12" fillId="0" borderId="11" xfId="1" applyNumberFormat="1" applyFont="1" applyBorder="1"/>
    <xf numFmtId="0" fontId="12" fillId="0" borderId="10" xfId="1" applyFont="1" applyBorder="1"/>
    <xf numFmtId="0" fontId="12" fillId="0" borderId="10" xfId="1" applyFont="1" applyBorder="1" applyAlignment="1">
      <alignment horizontal="center" vertical="center"/>
    </xf>
    <xf numFmtId="0" fontId="12" fillId="0" borderId="0" xfId="1" applyFont="1" applyBorder="1" applyAlignment="1">
      <alignment horizontal="center" vertical="center"/>
    </xf>
    <xf numFmtId="9" fontId="8" fillId="0" borderId="11" xfId="1" applyNumberFormat="1" applyFont="1" applyBorder="1" applyAlignment="1">
      <alignment horizontal="center" vertical="center"/>
    </xf>
    <xf numFmtId="9" fontId="12" fillId="0" borderId="9" xfId="1" applyNumberFormat="1" applyFont="1" applyBorder="1"/>
    <xf numFmtId="0" fontId="8" fillId="0" borderId="8" xfId="1" applyFont="1" applyBorder="1"/>
    <xf numFmtId="0" fontId="8" fillId="0" borderId="5" xfId="1" applyFont="1" applyBorder="1"/>
    <xf numFmtId="0" fontId="9" fillId="0" borderId="15" xfId="0" applyFont="1" applyBorder="1"/>
    <xf numFmtId="0" fontId="11" fillId="0" borderId="15" xfId="0" applyFont="1" applyBorder="1" applyAlignment="1">
      <alignment horizontal="center" vertical="center"/>
    </xf>
    <xf numFmtId="0" fontId="11" fillId="0" borderId="15" xfId="0" applyFont="1" applyBorder="1" applyAlignment="1">
      <alignment vertical="center"/>
    </xf>
    <xf numFmtId="0" fontId="9" fillId="0" borderId="15" xfId="0" applyFont="1" applyBorder="1" applyAlignment="1">
      <alignment horizontal="center" vertical="center"/>
    </xf>
    <xf numFmtId="0" fontId="11" fillId="0" borderId="15" xfId="0" applyFont="1" applyBorder="1"/>
    <xf numFmtId="9" fontId="11" fillId="0" borderId="15" xfId="3" applyFont="1" applyBorder="1" applyAlignment="1">
      <alignment horizontal="center" vertical="center"/>
    </xf>
    <xf numFmtId="9" fontId="11" fillId="0" borderId="15" xfId="0" applyNumberFormat="1" applyFont="1" applyBorder="1" applyAlignment="1">
      <alignment horizontal="center" vertical="center"/>
    </xf>
    <xf numFmtId="0" fontId="8" fillId="0" borderId="0" xfId="1" applyFont="1" applyAlignment="1">
      <alignment horizontal="center" vertical="center" wrapText="1"/>
    </xf>
    <xf numFmtId="0" fontId="8" fillId="0" borderId="4" xfId="1" applyFont="1" applyBorder="1" applyAlignment="1">
      <alignment horizontal="center" vertical="center" wrapText="1"/>
    </xf>
    <xf numFmtId="0" fontId="12" fillId="0" borderId="0" xfId="1" applyFont="1" applyAlignment="1">
      <alignment vertical="center" wrapText="1"/>
    </xf>
    <xf numFmtId="0" fontId="12" fillId="0" borderId="0" xfId="1" applyFont="1" applyAlignment="1">
      <alignment wrapText="1"/>
    </xf>
    <xf numFmtId="0" fontId="12" fillId="0" borderId="0" xfId="1" applyFont="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14" fillId="0" borderId="4" xfId="1" applyFont="1" applyBorder="1" applyAlignment="1">
      <alignment wrapText="1"/>
    </xf>
    <xf numFmtId="0" fontId="12" fillId="0" borderId="1" xfId="1" applyFont="1" applyBorder="1" applyAlignment="1">
      <alignment horizontal="center" vertical="center"/>
    </xf>
    <xf numFmtId="0" fontId="12" fillId="0" borderId="2" xfId="1" applyFont="1" applyBorder="1" applyAlignment="1">
      <alignment horizontal="center" vertical="center"/>
    </xf>
    <xf numFmtId="9" fontId="12" fillId="0" borderId="3" xfId="1" applyNumberFormat="1" applyFont="1" applyBorder="1" applyAlignment="1">
      <alignment horizontal="center" vertical="center"/>
    </xf>
    <xf numFmtId="9" fontId="12" fillId="2" borderId="9" xfId="1" applyNumberFormat="1" applyFont="1" applyFill="1" applyBorder="1" applyAlignment="1">
      <alignment horizontal="center" vertical="center"/>
    </xf>
    <xf numFmtId="0" fontId="12" fillId="2" borderId="4" xfId="1" applyFont="1" applyFill="1" applyBorder="1"/>
    <xf numFmtId="0" fontId="14" fillId="0" borderId="9" xfId="1" applyFont="1" applyBorder="1" applyAlignment="1">
      <alignment wrapText="1"/>
    </xf>
    <xf numFmtId="9" fontId="12" fillId="0" borderId="11" xfId="1" applyNumberFormat="1" applyFont="1" applyBorder="1" applyAlignment="1">
      <alignment horizontal="center" vertical="center"/>
    </xf>
    <xf numFmtId="0" fontId="12" fillId="2" borderId="9" xfId="1" applyFont="1" applyFill="1" applyBorder="1"/>
    <xf numFmtId="0" fontId="15" fillId="0" borderId="8" xfId="1" applyFont="1" applyBorder="1" applyAlignment="1">
      <alignment wrapText="1"/>
    </xf>
    <xf numFmtId="9" fontId="8" fillId="0" borderId="7" xfId="1" applyNumberFormat="1" applyFont="1" applyBorder="1" applyAlignment="1">
      <alignment horizontal="center" vertical="center"/>
    </xf>
    <xf numFmtId="9" fontId="8" fillId="0" borderId="8" xfId="1" applyNumberFormat="1" applyFont="1" applyBorder="1" applyAlignment="1">
      <alignment horizontal="center" vertical="center"/>
    </xf>
    <xf numFmtId="9" fontId="8" fillId="0" borderId="8" xfId="1" applyNumberFormat="1" applyFont="1" applyBorder="1"/>
    <xf numFmtId="0" fontId="16" fillId="0" borderId="0" xfId="1" applyFont="1"/>
    <xf numFmtId="0" fontId="8" fillId="0" borderId="4" xfId="1" applyFont="1" applyBorder="1" applyAlignment="1">
      <alignment horizontal="center" vertical="center"/>
    </xf>
    <xf numFmtId="0" fontId="8" fillId="0" borderId="6" xfId="1" applyFont="1" applyBorder="1"/>
    <xf numFmtId="0" fontId="8" fillId="0" borderId="7" xfId="1" applyFont="1" applyBorder="1"/>
    <xf numFmtId="0" fontId="14" fillId="0" borderId="4" xfId="1" applyFont="1" applyBorder="1"/>
    <xf numFmtId="0" fontId="12" fillId="3" borderId="1" xfId="1" applyFont="1" applyFill="1" applyBorder="1" applyAlignment="1">
      <alignment horizontal="center"/>
    </xf>
    <xf numFmtId="0" fontId="12" fillId="3" borderId="2" xfId="1" applyFont="1" applyFill="1" applyBorder="1" applyAlignment="1">
      <alignment horizontal="center"/>
    </xf>
    <xf numFmtId="0" fontId="12" fillId="0" borderId="2" xfId="1" applyFont="1" applyBorder="1" applyAlignment="1">
      <alignment horizontal="center"/>
    </xf>
    <xf numFmtId="9" fontId="8" fillId="0" borderId="3" xfId="1" applyNumberFormat="1" applyFont="1" applyBorder="1" applyAlignment="1">
      <alignment horizontal="center"/>
    </xf>
    <xf numFmtId="9" fontId="8" fillId="0" borderId="4" xfId="1" applyNumberFormat="1" applyFont="1" applyBorder="1" applyAlignment="1">
      <alignment horizontal="center"/>
    </xf>
    <xf numFmtId="9" fontId="12" fillId="0" borderId="4" xfId="1" applyNumberFormat="1" applyFont="1" applyBorder="1" applyAlignment="1">
      <alignment horizontal="center"/>
    </xf>
    <xf numFmtId="9" fontId="12" fillId="0" borderId="4" xfId="1" applyNumberFormat="1" applyFont="1" applyBorder="1"/>
    <xf numFmtId="9" fontId="12" fillId="0" borderId="4" xfId="1" applyNumberFormat="1" applyFont="1" applyBorder="1" applyAlignment="1">
      <alignment horizontal="right"/>
    </xf>
    <xf numFmtId="0" fontId="14" fillId="0" borderId="9" xfId="1" applyFont="1" applyBorder="1"/>
    <xf numFmtId="0" fontId="12" fillId="0" borderId="10" xfId="1" applyFont="1" applyBorder="1" applyAlignment="1">
      <alignment horizontal="center"/>
    </xf>
    <xf numFmtId="0" fontId="12" fillId="0" borderId="0" xfId="1" applyFont="1" applyBorder="1" applyAlignment="1">
      <alignment horizontal="center"/>
    </xf>
    <xf numFmtId="9" fontId="8" fillId="0" borderId="11" xfId="1" applyNumberFormat="1" applyFont="1" applyBorder="1" applyAlignment="1">
      <alignment horizontal="center"/>
    </xf>
    <xf numFmtId="9" fontId="8" fillId="0" borderId="9" xfId="1" applyNumberFormat="1" applyFont="1" applyBorder="1" applyAlignment="1">
      <alignment horizontal="center"/>
    </xf>
    <xf numFmtId="9" fontId="12" fillId="0" borderId="9" xfId="1" applyNumberFormat="1" applyFont="1" applyBorder="1" applyAlignment="1">
      <alignment horizontal="center"/>
    </xf>
    <xf numFmtId="0" fontId="12" fillId="3" borderId="10" xfId="1" applyFont="1" applyFill="1" applyBorder="1" applyAlignment="1">
      <alignment horizontal="center"/>
    </xf>
    <xf numFmtId="0" fontId="12" fillId="3" borderId="0" xfId="1" applyFont="1" applyFill="1" applyBorder="1" applyAlignment="1">
      <alignment horizontal="center"/>
    </xf>
    <xf numFmtId="0" fontId="14" fillId="0" borderId="8" xfId="1" applyFont="1" applyBorder="1"/>
    <xf numFmtId="0" fontId="12" fillId="3" borderId="5" xfId="1" applyFont="1" applyFill="1" applyBorder="1" applyAlignment="1">
      <alignment horizontal="center"/>
    </xf>
    <xf numFmtId="0" fontId="12" fillId="3" borderId="6" xfId="1" applyFont="1" applyFill="1" applyBorder="1" applyAlignment="1">
      <alignment horizontal="center"/>
    </xf>
    <xf numFmtId="9" fontId="8" fillId="0" borderId="7" xfId="1" applyNumberFormat="1" applyFont="1" applyBorder="1" applyAlignment="1">
      <alignment horizontal="center"/>
    </xf>
    <xf numFmtId="9" fontId="8" fillId="0" borderId="8" xfId="1" applyNumberFormat="1" applyFont="1" applyBorder="1" applyAlignment="1">
      <alignment horizontal="center"/>
    </xf>
    <xf numFmtId="9" fontId="12" fillId="0" borderId="8" xfId="1" applyNumberFormat="1" applyFont="1" applyBorder="1" applyAlignment="1">
      <alignment horizontal="center"/>
    </xf>
    <xf numFmtId="9" fontId="12" fillId="0" borderId="8" xfId="1" applyNumberFormat="1" applyFont="1" applyBorder="1"/>
    <xf numFmtId="0" fontId="12" fillId="0" borderId="5" xfId="1" applyFont="1" applyBorder="1" applyAlignment="1">
      <alignment horizontal="center"/>
    </xf>
    <xf numFmtId="0" fontId="12" fillId="0" borderId="6" xfId="1" applyFont="1" applyBorder="1" applyAlignment="1">
      <alignment horizontal="center"/>
    </xf>
    <xf numFmtId="9" fontId="12" fillId="0" borderId="8" xfId="1" applyNumberFormat="1" applyFont="1" applyBorder="1" applyAlignment="1">
      <alignment horizontal="right"/>
    </xf>
    <xf numFmtId="0" fontId="8" fillId="0" borderId="15"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14" fillId="0" borderId="1" xfId="1" applyFont="1" applyBorder="1"/>
    <xf numFmtId="9" fontId="8" fillId="0" borderId="11" xfId="1" applyNumberFormat="1" applyFont="1" applyBorder="1"/>
    <xf numFmtId="9" fontId="8" fillId="0" borderId="4" xfId="1" applyNumberFormat="1" applyFont="1" applyBorder="1"/>
    <xf numFmtId="0" fontId="14" fillId="0" borderId="10" xfId="1" applyFont="1" applyBorder="1"/>
    <xf numFmtId="9" fontId="8" fillId="0" borderId="9" xfId="1" applyNumberFormat="1" applyFont="1" applyBorder="1"/>
    <xf numFmtId="0" fontId="14" fillId="0" borderId="5" xfId="1" applyFont="1" applyBorder="1"/>
    <xf numFmtId="0" fontId="12" fillId="0" borderId="5" xfId="1" applyFont="1" applyBorder="1"/>
    <xf numFmtId="0" fontId="12" fillId="0" borderId="6" xfId="1" applyFont="1" applyBorder="1"/>
    <xf numFmtId="9" fontId="8" fillId="0" borderId="7" xfId="1" applyNumberFormat="1" applyFont="1" applyBorder="1"/>
    <xf numFmtId="0" fontId="15" fillId="3" borderId="0" xfId="1" applyFont="1" applyFill="1" applyAlignment="1">
      <alignment vertical="center"/>
    </xf>
    <xf numFmtId="0" fontId="14" fillId="3" borderId="0" xfId="1" applyFont="1" applyFill="1"/>
    <xf numFmtId="0" fontId="8" fillId="0" borderId="3" xfId="1" applyFont="1" applyBorder="1" applyAlignment="1">
      <alignment horizontal="center" vertical="center"/>
    </xf>
    <xf numFmtId="0" fontId="8" fillId="4" borderId="0" xfId="1" applyFont="1" applyFill="1"/>
    <xf numFmtId="0" fontId="12" fillId="4" borderId="0" xfId="1" applyFont="1" applyFill="1"/>
    <xf numFmtId="0" fontId="12" fillId="4" borderId="11" xfId="1" applyFont="1" applyFill="1" applyBorder="1"/>
    <xf numFmtId="0" fontId="12" fillId="4" borderId="9" xfId="1" applyFont="1" applyFill="1" applyBorder="1"/>
    <xf numFmtId="0" fontId="12" fillId="3" borderId="0" xfId="1" applyFont="1" applyFill="1"/>
    <xf numFmtId="0" fontId="8" fillId="0" borderId="0" xfId="1" applyFont="1" applyAlignment="1">
      <alignment wrapText="1"/>
    </xf>
    <xf numFmtId="9" fontId="8" fillId="4" borderId="11" xfId="1" applyNumberFormat="1" applyFont="1" applyFill="1" applyBorder="1"/>
    <xf numFmtId="9" fontId="8" fillId="4" borderId="9" xfId="1" applyNumberFormat="1" applyFont="1" applyFill="1" applyBorder="1"/>
    <xf numFmtId="9" fontId="12" fillId="4" borderId="9" xfId="1" applyNumberFormat="1" applyFont="1" applyFill="1" applyBorder="1"/>
    <xf numFmtId="0" fontId="11" fillId="3" borderId="1" xfId="0" applyFont="1" applyFill="1" applyBorder="1" applyAlignment="1">
      <alignment vertical="center"/>
    </xf>
    <xf numFmtId="0" fontId="11" fillId="3" borderId="2" xfId="0" applyFont="1" applyFill="1" applyBorder="1" applyAlignment="1">
      <alignment vertical="center"/>
    </xf>
    <xf numFmtId="0" fontId="11" fillId="3" borderId="4" xfId="0" applyFont="1" applyFill="1" applyBorder="1" applyAlignment="1">
      <alignment vertical="center"/>
    </xf>
    <xf numFmtId="9" fontId="11" fillId="3" borderId="3" xfId="3" applyFont="1" applyFill="1" applyBorder="1" applyAlignment="1">
      <alignment vertical="center"/>
    </xf>
    <xf numFmtId="0" fontId="9" fillId="3" borderId="10" xfId="0" applyFont="1" applyFill="1" applyBorder="1" applyAlignment="1">
      <alignment vertical="center"/>
    </xf>
    <xf numFmtId="0" fontId="9" fillId="3" borderId="0" xfId="0" applyFont="1" applyFill="1" applyBorder="1" applyAlignment="1">
      <alignment vertical="center"/>
    </xf>
    <xf numFmtId="0" fontId="11" fillId="3" borderId="9" xfId="0" applyFont="1" applyFill="1" applyBorder="1" applyAlignment="1">
      <alignment vertical="center"/>
    </xf>
    <xf numFmtId="9" fontId="9" fillId="3" borderId="11" xfId="3" applyFont="1" applyFill="1" applyBorder="1" applyAlignment="1">
      <alignment vertical="center"/>
    </xf>
    <xf numFmtId="0" fontId="17" fillId="0" borderId="0" xfId="0" applyFont="1"/>
    <xf numFmtId="0" fontId="17" fillId="0" borderId="0" xfId="0" applyFont="1" applyAlignment="1">
      <alignment horizontal="center" vertical="center"/>
    </xf>
    <xf numFmtId="0" fontId="9" fillId="3" borderId="5" xfId="0" applyFont="1" applyFill="1" applyBorder="1" applyAlignment="1">
      <alignment vertical="center"/>
    </xf>
    <xf numFmtId="0" fontId="9" fillId="3" borderId="6" xfId="0" applyFont="1" applyFill="1" applyBorder="1" applyAlignment="1">
      <alignment vertical="center"/>
    </xf>
    <xf numFmtId="0" fontId="11" fillId="3" borderId="8" xfId="0" applyFont="1" applyFill="1" applyBorder="1" applyAlignment="1">
      <alignment vertical="center"/>
    </xf>
    <xf numFmtId="9" fontId="9" fillId="3" borderId="7" xfId="3" applyFont="1" applyFill="1" applyBorder="1" applyAlignment="1">
      <alignment vertical="center"/>
    </xf>
    <xf numFmtId="0" fontId="11" fillId="3" borderId="10" xfId="0" applyFont="1" applyFill="1" applyBorder="1" applyAlignment="1">
      <alignment vertical="center"/>
    </xf>
    <xf numFmtId="0" fontId="11" fillId="3" borderId="0" xfId="0" applyFont="1" applyFill="1" applyBorder="1" applyAlignment="1">
      <alignment vertical="center"/>
    </xf>
    <xf numFmtId="9" fontId="11" fillId="3" borderId="11" xfId="3" applyFont="1" applyFill="1" applyBorder="1" applyAlignment="1">
      <alignment vertical="center"/>
    </xf>
    <xf numFmtId="0" fontId="11" fillId="2" borderId="10" xfId="0" applyFont="1" applyFill="1" applyBorder="1" applyAlignment="1">
      <alignment vertical="center"/>
    </xf>
    <xf numFmtId="0" fontId="11" fillId="2" borderId="0" xfId="0" applyFont="1" applyFill="1" applyBorder="1" applyAlignment="1">
      <alignment vertical="center"/>
    </xf>
    <xf numFmtId="0" fontId="11" fillId="2" borderId="9" xfId="0" applyFont="1" applyFill="1" applyBorder="1" applyAlignment="1">
      <alignment vertical="center"/>
    </xf>
    <xf numFmtId="9" fontId="11" fillId="2" borderId="11" xfId="3" applyFont="1" applyFill="1" applyBorder="1" applyAlignment="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4" xfId="0" applyFont="1" applyFill="1" applyBorder="1" applyAlignment="1">
      <alignment vertical="center"/>
    </xf>
    <xf numFmtId="9" fontId="11" fillId="2" borderId="3" xfId="3" applyFont="1" applyFill="1" applyBorder="1" applyAlignment="1">
      <alignment vertical="center"/>
    </xf>
    <xf numFmtId="0" fontId="9" fillId="2" borderId="10" xfId="0" applyFont="1" applyFill="1" applyBorder="1" applyAlignment="1">
      <alignment vertical="center"/>
    </xf>
    <xf numFmtId="0" fontId="9" fillId="2" borderId="0" xfId="0" applyFont="1" applyFill="1" applyBorder="1" applyAlignment="1">
      <alignment vertical="center"/>
    </xf>
    <xf numFmtId="9" fontId="9" fillId="2" borderId="11" xfId="3"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11" fillId="2" borderId="8" xfId="0" applyFont="1" applyFill="1" applyBorder="1" applyAlignment="1">
      <alignment vertical="center"/>
    </xf>
    <xf numFmtId="9" fontId="9" fillId="2" borderId="7" xfId="3" applyFont="1" applyFill="1" applyBorder="1" applyAlignment="1">
      <alignment vertical="center"/>
    </xf>
    <xf numFmtId="0" fontId="11" fillId="0" borderId="3" xfId="0" applyFont="1" applyBorder="1" applyAlignment="1">
      <alignment horizontal="center" vertical="center"/>
    </xf>
    <xf numFmtId="0" fontId="9" fillId="0" borderId="11" xfId="0" applyFont="1" applyBorder="1" applyAlignment="1">
      <alignment horizontal="center" vertical="center"/>
    </xf>
    <xf numFmtId="0" fontId="9" fillId="0" borderId="11" xfId="3" applyNumberFormat="1" applyFont="1" applyBorder="1" applyAlignment="1">
      <alignment horizontal="center" vertical="center"/>
    </xf>
    <xf numFmtId="0" fontId="13" fillId="0" borderId="0" xfId="0" applyFont="1" applyAlignment="1">
      <alignment horizontal="center" vertical="center"/>
    </xf>
    <xf numFmtId="0" fontId="11" fillId="0" borderId="11" xfId="0" applyFont="1" applyBorder="1" applyAlignment="1">
      <alignment horizontal="center" vertical="center"/>
    </xf>
    <xf numFmtId="0" fontId="18" fillId="0" borderId="0" xfId="0" applyFont="1" applyAlignment="1">
      <alignment horizontal="center" vertical="center"/>
    </xf>
    <xf numFmtId="0" fontId="15" fillId="0" borderId="0" xfId="12" applyFont="1" applyFill="1" applyAlignment="1">
      <alignment vertical="center"/>
    </xf>
    <xf numFmtId="0" fontId="14" fillId="0" borderId="0" xfId="12" applyFont="1" applyFill="1" applyAlignment="1">
      <alignment vertical="center"/>
    </xf>
    <xf numFmtId="0" fontId="14" fillId="0" borderId="13" xfId="12" applyFont="1" applyFill="1" applyBorder="1" applyAlignment="1">
      <alignment horizontal="center" vertical="center"/>
    </xf>
    <xf numFmtId="0" fontId="14" fillId="0" borderId="14" xfId="12" applyFont="1" applyFill="1" applyBorder="1" applyAlignment="1">
      <alignment horizontal="center" vertical="center"/>
    </xf>
    <xf numFmtId="0" fontId="14" fillId="0" borderId="13" xfId="12" applyFont="1" applyFill="1" applyBorder="1" applyAlignment="1">
      <alignment vertical="center"/>
    </xf>
    <xf numFmtId="9" fontId="14" fillId="0" borderId="13" xfId="12" applyNumberFormat="1" applyFont="1" applyFill="1" applyBorder="1" applyAlignment="1">
      <alignment horizontal="center" vertical="center"/>
    </xf>
    <xf numFmtId="0" fontId="15" fillId="2" borderId="13" xfId="12" applyFont="1" applyFill="1" applyBorder="1" applyAlignment="1">
      <alignment vertical="center"/>
    </xf>
    <xf numFmtId="0" fontId="15" fillId="2" borderId="13" xfId="12" applyFont="1" applyFill="1" applyBorder="1" applyAlignment="1">
      <alignment horizontal="center" vertical="center"/>
    </xf>
    <xf numFmtId="0" fontId="15" fillId="2" borderId="14" xfId="12" applyFont="1" applyFill="1" applyBorder="1" applyAlignment="1">
      <alignment horizontal="center" vertical="center"/>
    </xf>
    <xf numFmtId="9" fontId="15" fillId="2" borderId="13" xfId="12" applyNumberFormat="1" applyFont="1" applyFill="1" applyBorder="1" applyAlignment="1">
      <alignment horizontal="center" vertical="center"/>
    </xf>
    <xf numFmtId="0" fontId="9" fillId="0" borderId="0" xfId="0" applyFont="1" applyAlignment="1">
      <alignment horizontal="left"/>
    </xf>
    <xf numFmtId="0" fontId="9" fillId="0" borderId="0" xfId="0" applyNumberFormat="1" applyFont="1"/>
    <xf numFmtId="0" fontId="14" fillId="0" borderId="0" xfId="12" applyFont="1" applyFill="1" applyAlignment="1">
      <alignment horizontal="center" vertical="center"/>
    </xf>
    <xf numFmtId="0" fontId="15" fillId="0" borderId="2" xfId="12" applyFont="1" applyFill="1" applyBorder="1" applyAlignment="1">
      <alignment horizontal="left" vertical="center"/>
    </xf>
    <xf numFmtId="0" fontId="15" fillId="0" borderId="2" xfId="12" applyFont="1" applyFill="1" applyBorder="1" applyAlignment="1">
      <alignment horizontal="center" vertical="center"/>
    </xf>
    <xf numFmtId="0" fontId="15" fillId="0" borderId="3" xfId="12" applyFont="1" applyFill="1" applyBorder="1" applyAlignment="1">
      <alignment horizontal="center" vertical="center"/>
    </xf>
    <xf numFmtId="0" fontId="19" fillId="0" borderId="45" xfId="13" applyFont="1" applyFill="1" applyBorder="1" applyAlignment="1" applyProtection="1">
      <alignment vertical="center"/>
    </xf>
    <xf numFmtId="0" fontId="19" fillId="0" borderId="45" xfId="13" applyNumberFormat="1" applyFont="1" applyFill="1" applyBorder="1" applyAlignment="1" applyProtection="1">
      <alignment horizontal="center" vertical="center"/>
    </xf>
    <xf numFmtId="0" fontId="14" fillId="0" borderId="54" xfId="12" applyFont="1" applyFill="1" applyBorder="1" applyAlignment="1">
      <alignment horizontal="center" vertical="center"/>
    </xf>
    <xf numFmtId="9" fontId="14" fillId="0" borderId="45" xfId="12" applyNumberFormat="1" applyFont="1" applyFill="1" applyBorder="1" applyAlignment="1">
      <alignment horizontal="center" vertical="center"/>
    </xf>
    <xf numFmtId="0" fontId="19" fillId="0" borderId="46" xfId="13" applyFont="1" applyFill="1" applyBorder="1" applyAlignment="1" applyProtection="1">
      <alignment vertical="center"/>
    </xf>
    <xf numFmtId="0" fontId="19" fillId="0" borderId="46" xfId="13" applyNumberFormat="1" applyFont="1" applyFill="1" applyBorder="1" applyAlignment="1" applyProtection="1">
      <alignment horizontal="center" vertical="center"/>
    </xf>
    <xf numFmtId="0" fontId="14" fillId="0" borderId="55" xfId="12" applyFont="1" applyFill="1" applyBorder="1" applyAlignment="1">
      <alignment horizontal="center" vertical="center"/>
    </xf>
    <xf numFmtId="9" fontId="14" fillId="0" borderId="46" xfId="12" applyNumberFormat="1" applyFont="1" applyFill="1" applyBorder="1" applyAlignment="1">
      <alignment horizontal="center" vertical="center"/>
    </xf>
    <xf numFmtId="0" fontId="19" fillId="0" borderId="47" xfId="13" applyFont="1" applyFill="1" applyBorder="1" applyAlignment="1" applyProtection="1">
      <alignment vertical="center"/>
    </xf>
    <xf numFmtId="0" fontId="19" fillId="0" borderId="47" xfId="13" applyNumberFormat="1" applyFont="1" applyFill="1" applyBorder="1" applyAlignment="1" applyProtection="1">
      <alignment horizontal="center" vertical="center"/>
    </xf>
    <xf numFmtId="0" fontId="14" fillId="0" borderId="56" xfId="12" applyFont="1" applyFill="1" applyBorder="1" applyAlignment="1">
      <alignment horizontal="center" vertical="center"/>
    </xf>
    <xf numFmtId="9" fontId="14" fillId="0" borderId="47" xfId="12" applyNumberFormat="1" applyFont="1" applyFill="1" applyBorder="1" applyAlignment="1">
      <alignment horizontal="center" vertical="center"/>
    </xf>
    <xf numFmtId="0" fontId="15" fillId="2" borderId="6" xfId="12" applyFont="1" applyFill="1" applyBorder="1" applyAlignment="1">
      <alignment vertical="center"/>
    </xf>
    <xf numFmtId="0" fontId="15" fillId="2" borderId="6" xfId="12" applyFont="1" applyFill="1" applyBorder="1" applyAlignment="1">
      <alignment horizontal="center" vertical="center"/>
    </xf>
    <xf numFmtId="0" fontId="15" fillId="2" borderId="7" xfId="12" applyFont="1" applyFill="1" applyBorder="1" applyAlignment="1">
      <alignment horizontal="center" vertical="center"/>
    </xf>
    <xf numFmtId="9" fontId="15" fillId="2" borderId="48" xfId="12" applyNumberFormat="1" applyFont="1" applyFill="1" applyBorder="1" applyAlignment="1">
      <alignment horizontal="center" vertical="center"/>
    </xf>
    <xf numFmtId="0" fontId="13" fillId="0" borderId="0" xfId="1" applyFont="1"/>
    <xf numFmtId="0" fontId="12" fillId="0" borderId="41" xfId="1" applyFont="1" applyBorder="1" applyAlignment="1">
      <alignment horizontal="center" vertical="center" wrapText="1"/>
    </xf>
    <xf numFmtId="9" fontId="8" fillId="0" borderId="41" xfId="1" applyNumberFormat="1" applyFont="1" applyBorder="1" applyAlignment="1">
      <alignment horizontal="center" vertical="center" wrapText="1"/>
    </xf>
    <xf numFmtId="9" fontId="12" fillId="0" borderId="41" xfId="1" applyNumberFormat="1" applyFont="1" applyBorder="1" applyAlignment="1">
      <alignment horizontal="center" vertical="center" wrapText="1"/>
    </xf>
    <xf numFmtId="0" fontId="12" fillId="0" borderId="0" xfId="1" applyFont="1" applyBorder="1" applyAlignment="1">
      <alignment horizontal="center" vertical="center" wrapText="1"/>
    </xf>
    <xf numFmtId="0" fontId="18" fillId="0" borderId="0" xfId="0" applyFont="1"/>
    <xf numFmtId="0" fontId="15" fillId="0" borderId="0" xfId="0" applyFont="1"/>
    <xf numFmtId="0" fontId="9" fillId="0" borderId="9" xfId="0" applyFont="1" applyBorder="1" applyAlignment="1">
      <alignment horizontal="center" vertical="center"/>
    </xf>
    <xf numFmtId="0" fontId="11" fillId="0" borderId="9" xfId="0" applyFont="1" applyBorder="1" applyAlignment="1">
      <alignment horizontal="center" vertical="center"/>
    </xf>
    <xf numFmtId="0" fontId="8" fillId="0" borderId="11" xfId="1" applyFont="1" applyBorder="1"/>
    <xf numFmtId="9" fontId="8" fillId="0" borderId="11" xfId="1" applyNumberFormat="1" applyFont="1" applyBorder="1" applyAlignment="1">
      <alignment horizontal="right" wrapText="1"/>
    </xf>
    <xf numFmtId="0" fontId="8" fillId="0" borderId="4" xfId="1" applyFont="1" applyBorder="1"/>
    <xf numFmtId="0" fontId="12" fillId="0" borderId="0" xfId="1" applyFont="1" applyAlignment="1">
      <alignment horizontal="center"/>
    </xf>
    <xf numFmtId="0" fontId="8" fillId="0" borderId="15" xfId="1" applyFont="1" applyBorder="1" applyAlignment="1">
      <alignment horizontal="center"/>
    </xf>
    <xf numFmtId="0" fontId="8" fillId="0" borderId="1" xfId="1" applyFont="1" applyBorder="1"/>
    <xf numFmtId="0" fontId="8" fillId="0" borderId="2" xfId="1" applyFont="1" applyBorder="1"/>
    <xf numFmtId="0" fontId="8" fillId="0" borderId="3" xfId="1" applyFont="1" applyBorder="1"/>
    <xf numFmtId="0" fontId="12" fillId="0" borderId="9" xfId="1" applyFont="1" applyBorder="1" applyAlignment="1">
      <alignment wrapText="1"/>
    </xf>
    <xf numFmtId="0" fontId="12" fillId="0" borderId="10" xfId="1" applyFont="1" applyBorder="1" applyAlignment="1">
      <alignment wrapText="1"/>
    </xf>
    <xf numFmtId="0" fontId="12" fillId="0" borderId="0" xfId="1" applyFont="1" applyBorder="1" applyAlignment="1">
      <alignment wrapText="1"/>
    </xf>
    <xf numFmtId="9" fontId="8" fillId="0" borderId="11" xfId="1" applyNumberFormat="1" applyFont="1" applyBorder="1" applyAlignment="1">
      <alignment wrapText="1"/>
    </xf>
    <xf numFmtId="0" fontId="12" fillId="0" borderId="8" xfId="1" applyFont="1" applyBorder="1" applyAlignment="1">
      <alignment wrapText="1"/>
    </xf>
    <xf numFmtId="0" fontId="12" fillId="0" borderId="5" xfId="1" applyFont="1" applyBorder="1" applyAlignment="1">
      <alignment wrapText="1"/>
    </xf>
    <xf numFmtId="0" fontId="12" fillId="0" borderId="6" xfId="1" applyFont="1" applyBorder="1" applyAlignment="1">
      <alignment wrapText="1"/>
    </xf>
    <xf numFmtId="9" fontId="8" fillId="0" borderId="7" xfId="1" applyNumberFormat="1" applyFont="1" applyBorder="1" applyAlignment="1">
      <alignment wrapText="1"/>
    </xf>
    <xf numFmtId="9" fontId="9" fillId="0" borderId="0" xfId="2" applyFont="1"/>
    <xf numFmtId="0" fontId="8" fillId="0" borderId="10" xfId="1" applyFont="1" applyBorder="1" applyAlignment="1">
      <alignment wrapText="1"/>
    </xf>
    <xf numFmtId="0" fontId="8" fillId="0" borderId="0" xfId="1" applyFont="1" applyBorder="1" applyAlignment="1">
      <alignment wrapText="1"/>
    </xf>
    <xf numFmtId="0" fontId="8" fillId="0" borderId="15" xfId="1" applyFont="1" applyBorder="1"/>
    <xf numFmtId="0" fontId="8" fillId="0" borderId="12" xfId="1" applyFont="1" applyBorder="1"/>
    <xf numFmtId="0" fontId="8" fillId="0" borderId="13" xfId="1" applyFont="1" applyBorder="1"/>
    <xf numFmtId="9" fontId="8" fillId="0" borderId="14" xfId="1" applyNumberFormat="1" applyFont="1" applyBorder="1" applyAlignment="1">
      <alignment wrapText="1"/>
    </xf>
    <xf numFmtId="9" fontId="8" fillId="0" borderId="14" xfId="1" applyNumberFormat="1" applyFont="1" applyBorder="1"/>
    <xf numFmtId="9" fontId="8" fillId="0" borderId="15" xfId="1" applyNumberFormat="1" applyFont="1" applyBorder="1"/>
    <xf numFmtId="9" fontId="8" fillId="0" borderId="0" xfId="1" applyNumberFormat="1" applyFont="1" applyAlignment="1">
      <alignment wrapText="1"/>
    </xf>
    <xf numFmtId="9" fontId="8" fillId="0" borderId="0" xfId="1" applyNumberFormat="1" applyFont="1"/>
    <xf numFmtId="13" fontId="8" fillId="0" borderId="0" xfId="1" applyNumberFormat="1" applyFont="1"/>
    <xf numFmtId="9" fontId="12" fillId="0" borderId="0" xfId="1" applyNumberFormat="1" applyFont="1" applyBorder="1"/>
    <xf numFmtId="9" fontId="8" fillId="0" borderId="0" xfId="1" applyNumberFormat="1" applyFont="1" applyBorder="1"/>
    <xf numFmtId="0" fontId="21" fillId="0" borderId="0" xfId="1" applyFont="1"/>
    <xf numFmtId="0" fontId="21" fillId="0" borderId="0" xfId="1" applyNumberFormat="1" applyFont="1"/>
    <xf numFmtId="0" fontId="22" fillId="0" borderId="0" xfId="1" applyNumberFormat="1" applyFont="1"/>
    <xf numFmtId="0" fontId="22" fillId="0" borderId="0" xfId="1" applyFont="1"/>
    <xf numFmtId="0" fontId="8" fillId="0" borderId="11" xfId="0" applyFont="1" applyBorder="1"/>
    <xf numFmtId="0" fontId="9" fillId="0" borderId="0" xfId="0" applyFont="1" applyFill="1" applyAlignment="1">
      <alignment horizontal="center"/>
    </xf>
    <xf numFmtId="9" fontId="8" fillId="0" borderId="11" xfId="3" applyFont="1" applyFill="1" applyBorder="1" applyAlignment="1">
      <alignment horizontal="center"/>
    </xf>
    <xf numFmtId="0" fontId="12" fillId="0" borderId="0" xfId="3" applyNumberFormat="1" applyFont="1" applyFill="1" applyAlignment="1">
      <alignment horizontal="center"/>
    </xf>
    <xf numFmtId="9" fontId="11" fillId="0" borderId="11" xfId="0" applyNumberFormat="1" applyFont="1" applyBorder="1" applyAlignment="1">
      <alignment horizontal="center"/>
    </xf>
    <xf numFmtId="0" fontId="9" fillId="0" borderId="0" xfId="0" applyFont="1" applyAlignment="1">
      <alignment horizontal="center"/>
    </xf>
    <xf numFmtId="9" fontId="8" fillId="0" borderId="11" xfId="3" applyFont="1" applyBorder="1" applyAlignment="1">
      <alignment horizontal="center"/>
    </xf>
    <xf numFmtId="1" fontId="9" fillId="0" borderId="0" xfId="0" applyNumberFormat="1" applyFont="1" applyAlignment="1">
      <alignment horizontal="center"/>
    </xf>
    <xf numFmtId="1" fontId="9" fillId="0" borderId="0" xfId="0" applyNumberFormat="1" applyFont="1" applyFill="1" applyAlignment="1">
      <alignment horizontal="center"/>
    </xf>
    <xf numFmtId="0" fontId="9" fillId="0" borderId="11" xfId="0" applyFont="1" applyBorder="1" applyAlignment="1">
      <alignment horizontal="center"/>
    </xf>
    <xf numFmtId="9" fontId="11" fillId="0" borderId="11" xfId="3" applyFont="1" applyBorder="1" applyAlignment="1">
      <alignment horizontal="center"/>
    </xf>
    <xf numFmtId="9" fontId="8" fillId="0" borderId="11" xfId="0" applyNumberFormat="1" applyFont="1" applyFill="1" applyBorder="1" applyAlignment="1">
      <alignment horizontal="center"/>
    </xf>
    <xf numFmtId="9" fontId="11" fillId="0" borderId="11" xfId="0" applyNumberFormat="1" applyFont="1" applyFill="1" applyBorder="1" applyAlignment="1">
      <alignment horizontal="center"/>
    </xf>
    <xf numFmtId="0" fontId="11"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11" fillId="0" borderId="2" xfId="0" applyFont="1" applyBorder="1" applyAlignment="1">
      <alignment vertical="center"/>
    </xf>
    <xf numFmtId="173" fontId="11" fillId="0" borderId="2" xfId="0" applyNumberFormat="1" applyFont="1" applyBorder="1" applyAlignment="1">
      <alignment vertical="center"/>
    </xf>
    <xf numFmtId="173" fontId="11" fillId="0" borderId="13" xfId="0" applyNumberFormat="1" applyFont="1" applyBorder="1" applyAlignment="1">
      <alignment vertical="center"/>
    </xf>
    <xf numFmtId="0" fontId="11" fillId="0" borderId="13" xfId="0" applyFont="1" applyBorder="1" applyAlignment="1">
      <alignment vertical="center"/>
    </xf>
    <xf numFmtId="0" fontId="9" fillId="0" borderId="13" xfId="0" applyFont="1" applyBorder="1" applyAlignment="1">
      <alignment vertical="center"/>
    </xf>
    <xf numFmtId="0" fontId="9" fillId="0" borderId="13" xfId="0" applyFont="1" applyBorder="1" applyAlignment="1">
      <alignment horizontal="center" vertical="center"/>
    </xf>
    <xf numFmtId="0" fontId="9" fillId="0" borderId="0" xfId="0" applyFont="1" applyBorder="1" applyAlignment="1">
      <alignment horizontal="center" vertical="center" wrapText="1"/>
    </xf>
    <xf numFmtId="0" fontId="9" fillId="0" borderId="39" xfId="0" applyFont="1" applyBorder="1" applyAlignment="1">
      <alignment vertical="center"/>
    </xf>
    <xf numFmtId="0" fontId="9" fillId="0" borderId="39" xfId="0" applyNumberFormat="1" applyFont="1" applyBorder="1" applyAlignment="1">
      <alignment horizontal="center" vertical="center"/>
    </xf>
    <xf numFmtId="173" fontId="9" fillId="0" borderId="39" xfId="0" applyNumberFormat="1" applyFont="1" applyBorder="1" applyAlignment="1">
      <alignment vertical="center"/>
    </xf>
    <xf numFmtId="173" fontId="9" fillId="0" borderId="0" xfId="0" applyNumberFormat="1" applyFont="1" applyAlignment="1">
      <alignment vertical="center"/>
    </xf>
    <xf numFmtId="0" fontId="9" fillId="0" borderId="42" xfId="0" applyFont="1" applyBorder="1" applyAlignment="1">
      <alignment vertical="center"/>
    </xf>
    <xf numFmtId="0" fontId="9" fillId="0" borderId="42" xfId="0" applyNumberFormat="1" applyFont="1" applyBorder="1" applyAlignment="1">
      <alignment horizontal="center" vertical="center"/>
    </xf>
    <xf numFmtId="173" fontId="9" fillId="0" borderId="42" xfId="0" applyNumberFormat="1" applyFont="1" applyBorder="1" applyAlignment="1">
      <alignment vertical="center"/>
    </xf>
    <xf numFmtId="0" fontId="9" fillId="0" borderId="0" xfId="0" applyNumberFormat="1" applyFont="1" applyAlignment="1">
      <alignment vertical="center"/>
    </xf>
    <xf numFmtId="0" fontId="9" fillId="0" borderId="43" xfId="0" applyFont="1" applyBorder="1" applyAlignment="1">
      <alignment vertical="center"/>
    </xf>
    <xf numFmtId="0" fontId="9" fillId="0" borderId="43" xfId="0" applyNumberFormat="1" applyFont="1" applyBorder="1" applyAlignment="1">
      <alignment horizontal="center" vertical="center"/>
    </xf>
    <xf numFmtId="173" fontId="9" fillId="0" borderId="43" xfId="0" applyNumberFormat="1" applyFont="1" applyBorder="1" applyAlignment="1">
      <alignment vertical="center"/>
    </xf>
    <xf numFmtId="173" fontId="9" fillId="0" borderId="0" xfId="0" applyNumberFormat="1" applyFont="1" applyBorder="1" applyAlignment="1">
      <alignment vertical="center"/>
    </xf>
    <xf numFmtId="0" fontId="11" fillId="2" borderId="13" xfId="0" applyFont="1" applyFill="1" applyBorder="1" applyAlignment="1">
      <alignment vertical="center"/>
    </xf>
    <xf numFmtId="0" fontId="11" fillId="2" borderId="13" xfId="0" applyNumberFormat="1" applyFont="1" applyFill="1" applyBorder="1" applyAlignment="1">
      <alignment horizontal="center" vertical="center"/>
    </xf>
    <xf numFmtId="173" fontId="11" fillId="2" borderId="13" xfId="0" applyNumberFormat="1" applyFont="1" applyFill="1" applyBorder="1" applyAlignment="1">
      <alignment vertical="center"/>
    </xf>
    <xf numFmtId="0" fontId="11" fillId="0" borderId="3" xfId="0" applyFont="1" applyBorder="1" applyAlignment="1">
      <alignment vertical="center"/>
    </xf>
    <xf numFmtId="0" fontId="9" fillId="0" borderId="14" xfId="0" applyFont="1" applyBorder="1" applyAlignment="1">
      <alignment horizontal="center" vertical="center" wrapText="1"/>
    </xf>
    <xf numFmtId="9" fontId="9" fillId="0" borderId="57" xfId="0" applyNumberFormat="1" applyFont="1" applyBorder="1" applyAlignment="1">
      <alignment horizontal="center" vertical="center"/>
    </xf>
    <xf numFmtId="9" fontId="9" fillId="0" borderId="11" xfId="0" applyNumberFormat="1" applyFont="1" applyBorder="1" applyAlignment="1">
      <alignment horizontal="center" vertical="center"/>
    </xf>
    <xf numFmtId="9" fontId="11" fillId="2" borderId="14" xfId="0" applyNumberFormat="1" applyFont="1" applyFill="1" applyBorder="1" applyAlignment="1">
      <alignment horizontal="center" vertical="center"/>
    </xf>
    <xf numFmtId="0" fontId="11" fillId="0" borderId="14" xfId="0" applyFont="1" applyBorder="1" applyAlignment="1">
      <alignment vertical="center"/>
    </xf>
    <xf numFmtId="0" fontId="9" fillId="0" borderId="14" xfId="0" applyFont="1" applyBorder="1" applyAlignment="1">
      <alignment vertical="center" wrapText="1"/>
    </xf>
    <xf numFmtId="0" fontId="9" fillId="0" borderId="14" xfId="0" applyFont="1" applyBorder="1" applyAlignment="1">
      <alignment vertical="center"/>
    </xf>
    <xf numFmtId="0" fontId="9" fillId="0" borderId="39"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Fill="1" applyAlignment="1">
      <alignment vertical="center"/>
    </xf>
    <xf numFmtId="0" fontId="9" fillId="0" borderId="0" xfId="0" applyNumberFormat="1" applyFont="1" applyFill="1" applyAlignment="1">
      <alignment vertical="center"/>
    </xf>
    <xf numFmtId="173" fontId="9" fillId="0" borderId="0" xfId="0" applyNumberFormat="1" applyFont="1" applyFill="1" applyAlignment="1">
      <alignment vertical="center"/>
    </xf>
    <xf numFmtId="0" fontId="11" fillId="0" borderId="14" xfId="0" applyFont="1" applyBorder="1" applyAlignment="1">
      <alignment horizontal="center" vertical="center" wrapText="1"/>
    </xf>
    <xf numFmtId="9" fontId="11" fillId="0" borderId="57" xfId="0" applyNumberFormat="1" applyFont="1" applyBorder="1" applyAlignment="1">
      <alignment horizontal="center" vertical="center"/>
    </xf>
    <xf numFmtId="9" fontId="11" fillId="0" borderId="58" xfId="0" applyNumberFormat="1" applyFont="1" applyBorder="1" applyAlignment="1">
      <alignment horizontal="center" vertical="center"/>
    </xf>
    <xf numFmtId="0" fontId="23" fillId="0" borderId="0" xfId="1" applyFont="1"/>
    <xf numFmtId="9" fontId="8" fillId="0" borderId="0" xfId="9" applyFont="1"/>
    <xf numFmtId="0" fontId="12" fillId="0" borderId="0" xfId="9" applyNumberFormat="1" applyFont="1"/>
    <xf numFmtId="0" fontId="24" fillId="0" borderId="0" xfId="1" applyFont="1"/>
    <xf numFmtId="9" fontId="12" fillId="0" borderId="0" xfId="9" applyFont="1"/>
    <xf numFmtId="9" fontId="12" fillId="0" borderId="0" xfId="1" applyNumberFormat="1" applyFont="1"/>
    <xf numFmtId="9" fontId="9" fillId="0" borderId="0" xfId="9" applyFont="1" applyAlignment="1">
      <alignment horizontal="right"/>
    </xf>
    <xf numFmtId="9" fontId="12" fillId="0" borderId="0" xfId="1" applyNumberFormat="1" applyFont="1" applyAlignment="1">
      <alignment horizontal="center"/>
    </xf>
    <xf numFmtId="0" fontId="8" fillId="0" borderId="6" xfId="1" applyFont="1" applyBorder="1" applyAlignment="1">
      <alignment wrapText="1"/>
    </xf>
    <xf numFmtId="0" fontId="8" fillId="0" borderId="1" xfId="1" applyFont="1" applyBorder="1" applyAlignment="1">
      <alignment wrapText="1"/>
    </xf>
    <xf numFmtId="0" fontId="8" fillId="0" borderId="3" xfId="1" applyFont="1" applyBorder="1" applyAlignment="1">
      <alignment wrapText="1"/>
    </xf>
    <xf numFmtId="0" fontId="8" fillId="10" borderId="0" xfId="1" applyFont="1" applyFill="1" applyBorder="1" applyAlignment="1">
      <alignment horizontal="left" vertical="center"/>
    </xf>
    <xf numFmtId="0" fontId="12" fillId="10" borderId="10" xfId="1" applyFont="1" applyFill="1" applyBorder="1" applyAlignment="1">
      <alignment horizontal="center" vertical="center" wrapText="1"/>
    </xf>
    <xf numFmtId="0" fontId="12" fillId="10" borderId="11" xfId="1" applyFont="1" applyFill="1" applyBorder="1" applyAlignment="1">
      <alignment horizontal="center" vertical="center" wrapText="1"/>
    </xf>
    <xf numFmtId="9" fontId="12" fillId="10" borderId="11" xfId="1" applyNumberFormat="1" applyFont="1" applyFill="1" applyBorder="1" applyAlignment="1">
      <alignment horizontal="center" vertical="center" wrapText="1"/>
    </xf>
    <xf numFmtId="9" fontId="12" fillId="10" borderId="9" xfId="1" applyNumberFormat="1" applyFont="1" applyFill="1" applyBorder="1" applyAlignment="1">
      <alignment horizontal="center" vertical="center" wrapText="1"/>
    </xf>
    <xf numFmtId="0" fontId="12" fillId="0" borderId="10" xfId="1" applyFont="1" applyFill="1" applyBorder="1"/>
    <xf numFmtId="0" fontId="12" fillId="0" borderId="10" xfId="1" applyFont="1" applyBorder="1" applyAlignment="1">
      <alignment horizontal="center" vertical="center" wrapText="1"/>
    </xf>
    <xf numFmtId="9" fontId="8" fillId="0" borderId="11" xfId="1" applyNumberFormat="1" applyFont="1" applyBorder="1" applyAlignment="1">
      <alignment horizontal="center" vertical="center" wrapText="1"/>
    </xf>
    <xf numFmtId="9" fontId="12" fillId="0" borderId="9" xfId="1" applyNumberFormat="1" applyFont="1" applyBorder="1" applyAlignment="1">
      <alignment horizontal="center" vertical="center" wrapText="1"/>
    </xf>
    <xf numFmtId="9" fontId="8" fillId="10" borderId="11" xfId="1" applyNumberFormat="1" applyFont="1" applyFill="1" applyBorder="1" applyAlignment="1">
      <alignment horizontal="center" vertical="center" wrapText="1"/>
    </xf>
    <xf numFmtId="0" fontId="12" fillId="0" borderId="5" xfId="1" applyFont="1" applyFill="1" applyBorder="1"/>
    <xf numFmtId="9" fontId="8" fillId="0" borderId="7" xfId="1" applyNumberFormat="1" applyFont="1" applyBorder="1" applyAlignment="1">
      <alignment horizontal="center" vertical="center" wrapText="1"/>
    </xf>
    <xf numFmtId="0" fontId="12" fillId="0" borderId="5" xfId="1" applyFont="1" applyBorder="1" applyAlignment="1">
      <alignment horizontal="center" vertical="center" wrapText="1"/>
    </xf>
    <xf numFmtId="9" fontId="12" fillId="0" borderId="8" xfId="1" applyNumberFormat="1" applyFont="1" applyBorder="1" applyAlignment="1">
      <alignment horizontal="center" vertical="center" wrapText="1"/>
    </xf>
    <xf numFmtId="0" fontId="8" fillId="0" borderId="10" xfId="1" applyFont="1" applyFill="1" applyBorder="1" applyAlignment="1">
      <alignment wrapText="1"/>
    </xf>
    <xf numFmtId="0" fontId="8" fillId="0" borderId="0" xfId="1" applyFont="1" applyFill="1" applyBorder="1"/>
    <xf numFmtId="0" fontId="8" fillId="0" borderId="11" xfId="1" applyFont="1" applyFill="1" applyBorder="1" applyAlignment="1">
      <alignment wrapText="1"/>
    </xf>
    <xf numFmtId="0" fontId="12" fillId="0" borderId="49" xfId="1" applyFont="1" applyFill="1" applyBorder="1" applyAlignment="1">
      <alignment horizontal="center" vertical="center" wrapText="1"/>
    </xf>
    <xf numFmtId="0" fontId="12" fillId="0" borderId="44" xfId="1" applyFont="1" applyFill="1" applyBorder="1" applyAlignment="1">
      <alignment horizontal="center" vertical="center" wrapText="1"/>
    </xf>
    <xf numFmtId="9" fontId="12" fillId="0" borderId="44" xfId="1" applyNumberFormat="1" applyFont="1" applyFill="1" applyBorder="1" applyAlignment="1">
      <alignment horizontal="center" vertical="center" wrapText="1"/>
    </xf>
    <xf numFmtId="0" fontId="12" fillId="0" borderId="49" xfId="1" applyFont="1" applyBorder="1" applyAlignment="1">
      <alignment horizontal="center" vertical="center" wrapText="1"/>
    </xf>
    <xf numFmtId="0" fontId="12" fillId="0" borderId="44" xfId="1" applyFont="1" applyBorder="1" applyAlignment="1">
      <alignment horizontal="center" vertical="center" wrapText="1"/>
    </xf>
    <xf numFmtId="9" fontId="12" fillId="0" borderId="50" xfId="1" applyNumberFormat="1" applyFont="1" applyBorder="1" applyAlignment="1">
      <alignment horizontal="center" vertical="center" wrapText="1"/>
    </xf>
    <xf numFmtId="0" fontId="12" fillId="0" borderId="51" xfId="1" applyFont="1" applyFill="1" applyBorder="1" applyAlignment="1">
      <alignment horizontal="center" vertical="center" wrapText="1"/>
    </xf>
    <xf numFmtId="0" fontId="12" fillId="0" borderId="52" xfId="1" applyFont="1" applyFill="1" applyBorder="1" applyAlignment="1">
      <alignment horizontal="center" vertical="center" wrapText="1"/>
    </xf>
    <xf numFmtId="0" fontId="12" fillId="0" borderId="51" xfId="1" applyFont="1" applyBorder="1" applyAlignment="1">
      <alignment horizontal="center" vertical="center" wrapText="1"/>
    </xf>
    <xf numFmtId="0" fontId="12" fillId="0" borderId="52" xfId="1" applyFont="1" applyBorder="1" applyAlignment="1">
      <alignment horizontal="center" vertical="center" wrapText="1"/>
    </xf>
    <xf numFmtId="9" fontId="12" fillId="0" borderId="53" xfId="1" applyNumberFormat="1" applyFont="1" applyBorder="1" applyAlignment="1">
      <alignment horizontal="center" vertical="center" wrapText="1"/>
    </xf>
    <xf numFmtId="0" fontId="12" fillId="0" borderId="9" xfId="1" applyFont="1" applyBorder="1"/>
    <xf numFmtId="0" fontId="12" fillId="0" borderId="0" xfId="1" applyFont="1" applyAlignment="1">
      <alignment horizontal="center" vertical="center" wrapText="1"/>
    </xf>
    <xf numFmtId="9" fontId="8" fillId="0" borderId="0" xfId="1" applyNumberFormat="1" applyFont="1" applyAlignment="1">
      <alignment horizontal="center" vertical="center" wrapText="1"/>
    </xf>
    <xf numFmtId="0" fontId="12" fillId="0" borderId="11" xfId="1" applyFont="1" applyBorder="1" applyAlignment="1">
      <alignment horizontal="center" vertical="center" wrapText="1"/>
    </xf>
    <xf numFmtId="0" fontId="25" fillId="0" borderId="0" xfId="1" applyFont="1" applyAlignment="1">
      <alignment horizontal="center" vertical="center" wrapText="1"/>
    </xf>
    <xf numFmtId="9" fontId="26" fillId="0" borderId="0" xfId="1" applyNumberFormat="1" applyFont="1" applyAlignment="1">
      <alignment horizontal="center" vertical="center" wrapText="1"/>
    </xf>
    <xf numFmtId="0" fontId="25" fillId="0" borderId="11"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0" xfId="1" applyFont="1" applyBorder="1" applyAlignment="1">
      <alignment horizontal="center" vertical="center" wrapText="1"/>
    </xf>
    <xf numFmtId="9" fontId="15" fillId="0" borderId="11" xfId="1" applyNumberFormat="1" applyFont="1" applyBorder="1" applyAlignment="1">
      <alignment horizontal="center" vertical="center" wrapText="1"/>
    </xf>
    <xf numFmtId="9" fontId="14" fillId="0" borderId="9" xfId="1" applyNumberFormat="1" applyFont="1" applyBorder="1" applyAlignment="1">
      <alignment horizontal="center"/>
    </xf>
    <xf numFmtId="0" fontId="8" fillId="0" borderId="11" xfId="1" applyFont="1" applyBorder="1" applyAlignment="1">
      <alignment horizontal="center"/>
    </xf>
    <xf numFmtId="0" fontId="8" fillId="0" borderId="10" xfId="1" applyFont="1" applyBorder="1" applyAlignment="1">
      <alignment horizontal="center"/>
    </xf>
    <xf numFmtId="0" fontId="8" fillId="0" borderId="0" xfId="1" applyFont="1" applyBorder="1" applyAlignment="1">
      <alignment horizontal="center"/>
    </xf>
    <xf numFmtId="0" fontId="8" fillId="0" borderId="0" xfId="1" applyFont="1" applyAlignment="1">
      <alignment horizontal="center" vertical="center"/>
    </xf>
    <xf numFmtId="0" fontId="8" fillId="6" borderId="0" xfId="1" applyFont="1" applyFill="1"/>
    <xf numFmtId="0" fontId="8" fillId="6" borderId="0" xfId="1" applyFont="1" applyFill="1" applyAlignment="1">
      <alignment wrapText="1"/>
    </xf>
    <xf numFmtId="0" fontId="11" fillId="0" borderId="0" xfId="4" applyFont="1" applyAlignment="1">
      <alignment horizontal="center" vertical="center" wrapText="1"/>
    </xf>
    <xf numFmtId="9" fontId="8" fillId="0" borderId="0" xfId="2" applyFont="1"/>
    <xf numFmtId="0" fontId="9" fillId="0" borderId="0" xfId="4" applyFont="1" applyAlignment="1">
      <alignment wrapText="1"/>
    </xf>
    <xf numFmtId="9" fontId="12" fillId="6" borderId="0" xfId="1" applyNumberFormat="1" applyFont="1" applyFill="1"/>
    <xf numFmtId="9" fontId="8" fillId="6" borderId="0" xfId="1" applyNumberFormat="1" applyFont="1" applyFill="1"/>
    <xf numFmtId="9" fontId="11" fillId="0" borderId="0" xfId="5" applyFont="1"/>
    <xf numFmtId="9" fontId="9" fillId="0" borderId="0" xfId="5" applyFont="1"/>
    <xf numFmtId="0" fontId="8" fillId="7" borderId="0" xfId="1" applyFont="1" applyFill="1"/>
    <xf numFmtId="9" fontId="8" fillId="7" borderId="0" xfId="1" applyNumberFormat="1" applyFont="1" applyFill="1"/>
    <xf numFmtId="0" fontId="12" fillId="0" borderId="0" xfId="1" applyFont="1" applyAlignment="1"/>
    <xf numFmtId="169" fontId="12" fillId="0" borderId="0" xfId="1" applyNumberFormat="1" applyFont="1"/>
    <xf numFmtId="0" fontId="12" fillId="0" borderId="13" xfId="1" applyFont="1" applyBorder="1" applyAlignment="1">
      <alignment vertical="center"/>
    </xf>
    <xf numFmtId="0" fontId="12" fillId="0" borderId="13" xfId="8" applyFont="1" applyBorder="1" applyAlignment="1">
      <alignment horizontal="right" vertical="center" wrapText="1"/>
    </xf>
    <xf numFmtId="169" fontId="12" fillId="0" borderId="13" xfId="8" applyNumberFormat="1" applyFont="1" applyBorder="1" applyAlignment="1">
      <alignment horizontal="right" vertical="center" wrapText="1"/>
    </xf>
    <xf numFmtId="0" fontId="12" fillId="0" borderId="13" xfId="1" applyFont="1" applyBorder="1" applyAlignment="1">
      <alignment horizontal="right" vertical="center"/>
    </xf>
    <xf numFmtId="3" fontId="12" fillId="0" borderId="13" xfId="1" applyNumberFormat="1" applyFont="1" applyBorder="1" applyAlignment="1">
      <alignment horizontal="right" vertical="center" wrapText="1"/>
    </xf>
    <xf numFmtId="169" fontId="12" fillId="0" borderId="13" xfId="1" applyNumberFormat="1" applyFont="1" applyBorder="1" applyAlignment="1">
      <alignment horizontal="right" vertical="center" wrapText="1"/>
    </xf>
    <xf numFmtId="3" fontId="12" fillId="0" borderId="13" xfId="1" applyNumberFormat="1" applyFont="1" applyBorder="1" applyAlignment="1">
      <alignment vertical="center"/>
    </xf>
    <xf numFmtId="169" fontId="12" fillId="0" borderId="13" xfId="1" applyNumberFormat="1" applyFont="1" applyBorder="1" applyAlignment="1">
      <alignment vertical="center"/>
    </xf>
    <xf numFmtId="0" fontId="12" fillId="0" borderId="14" xfId="8" applyFont="1" applyBorder="1" applyAlignment="1">
      <alignment horizontal="right" vertical="center" wrapText="1"/>
    </xf>
    <xf numFmtId="9" fontId="8" fillId="0" borderId="14" xfId="1" applyNumberFormat="1" applyFont="1" applyBorder="1" applyAlignment="1">
      <alignment vertical="center"/>
    </xf>
    <xf numFmtId="0" fontId="12" fillId="0" borderId="12" xfId="8" applyFont="1" applyBorder="1" applyAlignment="1">
      <alignment horizontal="right" vertical="center" wrapText="1"/>
    </xf>
    <xf numFmtId="3" fontId="12" fillId="0" borderId="12" xfId="1" applyNumberFormat="1" applyFont="1" applyBorder="1" applyAlignment="1">
      <alignment horizontal="right" vertical="center" wrapText="1"/>
    </xf>
    <xf numFmtId="3" fontId="12" fillId="0" borderId="14" xfId="1" applyNumberFormat="1" applyFont="1" applyBorder="1" applyAlignment="1">
      <alignment horizontal="right" vertical="center" wrapText="1"/>
    </xf>
    <xf numFmtId="3" fontId="12" fillId="0" borderId="12" xfId="1" applyNumberFormat="1" applyFont="1" applyBorder="1" applyAlignment="1">
      <alignment vertical="center"/>
    </xf>
    <xf numFmtId="0" fontId="27" fillId="0" borderId="0" xfId="1" applyFont="1"/>
    <xf numFmtId="0" fontId="8" fillId="0" borderId="9" xfId="1" applyFont="1" applyBorder="1" applyAlignment="1">
      <alignment horizontal="center" vertical="center"/>
    </xf>
    <xf numFmtId="0" fontId="8" fillId="0" borderId="0" xfId="1" applyFont="1" applyBorder="1" applyAlignment="1">
      <alignment vertical="top" wrapText="1"/>
    </xf>
    <xf numFmtId="0" fontId="8" fillId="0" borderId="11" xfId="1" applyFont="1" applyBorder="1" applyAlignment="1">
      <alignment vertical="top" wrapText="1"/>
    </xf>
    <xf numFmtId="0" fontId="8" fillId="0" borderId="9" xfId="1" applyFont="1" applyBorder="1" applyAlignment="1">
      <alignment vertical="top" wrapText="1"/>
    </xf>
    <xf numFmtId="0" fontId="28" fillId="0" borderId="0" xfId="1" applyFont="1"/>
    <xf numFmtId="0" fontId="29" fillId="0" borderId="0" xfId="1" applyFont="1"/>
    <xf numFmtId="0" fontId="8" fillId="0" borderId="33" xfId="1" applyFont="1" applyBorder="1" applyAlignment="1">
      <alignment horizontal="center" vertical="center"/>
    </xf>
    <xf numFmtId="0" fontId="8" fillId="0" borderId="33" xfId="1" applyFont="1" applyBorder="1" applyAlignment="1">
      <alignment horizontal="center"/>
    </xf>
    <xf numFmtId="0" fontId="8" fillId="0" borderId="32" xfId="1" applyFont="1" applyBorder="1" applyAlignment="1">
      <alignment horizontal="center"/>
    </xf>
    <xf numFmtId="0" fontId="12" fillId="0" borderId="34" xfId="1" applyFont="1" applyBorder="1"/>
    <xf numFmtId="0" fontId="8" fillId="0" borderId="35" xfId="1" applyFont="1" applyBorder="1" applyAlignment="1">
      <alignment horizontal="center"/>
    </xf>
    <xf numFmtId="0" fontId="8" fillId="0" borderId="0" xfId="1" applyFont="1" applyFill="1" applyBorder="1" applyAlignment="1">
      <alignment horizontal="center"/>
    </xf>
    <xf numFmtId="9" fontId="12" fillId="0" borderId="35" xfId="1" applyNumberFormat="1" applyFont="1" applyBorder="1"/>
    <xf numFmtId="9" fontId="12" fillId="0" borderId="33" xfId="1" applyNumberFormat="1" applyFont="1" applyBorder="1"/>
    <xf numFmtId="0" fontId="12" fillId="0" borderId="36" xfId="1" applyFont="1" applyBorder="1" applyAlignment="1">
      <alignment horizontal="right"/>
    </xf>
    <xf numFmtId="9" fontId="12" fillId="0" borderId="37" xfId="1" applyNumberFormat="1" applyFont="1" applyBorder="1"/>
    <xf numFmtId="0" fontId="8" fillId="0" borderId="34" xfId="1" applyFont="1" applyBorder="1"/>
    <xf numFmtId="9" fontId="8" fillId="0" borderId="37" xfId="1" applyNumberFormat="1" applyFont="1" applyBorder="1"/>
    <xf numFmtId="0" fontId="8" fillId="0" borderId="36" xfId="1" applyFont="1" applyBorder="1" applyAlignment="1">
      <alignment horizontal="right"/>
    </xf>
    <xf numFmtId="0" fontId="12" fillId="0" borderId="38" xfId="1" applyFont="1" applyBorder="1"/>
    <xf numFmtId="9" fontId="12" fillId="0" borderId="39" xfId="1" applyNumberFormat="1" applyFont="1" applyBorder="1"/>
    <xf numFmtId="9" fontId="12" fillId="0" borderId="40" xfId="1" applyNumberFormat="1" applyFont="1" applyBorder="1"/>
    <xf numFmtId="3" fontId="12" fillId="0" borderId="40" xfId="1" applyNumberFormat="1" applyFont="1" applyBorder="1"/>
    <xf numFmtId="0" fontId="12" fillId="0" borderId="0" xfId="1" applyFont="1" applyFill="1" applyBorder="1"/>
    <xf numFmtId="0" fontId="8" fillId="8" borderId="0" xfId="1" applyFont="1" applyFill="1"/>
    <xf numFmtId="165" fontId="12" fillId="0" borderId="0" xfId="1" applyNumberFormat="1" applyFont="1"/>
    <xf numFmtId="167" fontId="9" fillId="0" borderId="0" xfId="6" applyNumberFormat="1" applyFont="1" applyBorder="1" applyAlignment="1" applyProtection="1"/>
    <xf numFmtId="0" fontId="23" fillId="9" borderId="0" xfId="1" applyFont="1" applyFill="1"/>
    <xf numFmtId="167" fontId="23" fillId="9" borderId="0" xfId="6" applyNumberFormat="1" applyFont="1" applyFill="1" applyBorder="1" applyAlignment="1" applyProtection="1"/>
    <xf numFmtId="9" fontId="23" fillId="9" borderId="0" xfId="1" applyNumberFormat="1" applyFont="1" applyFill="1" applyAlignment="1">
      <alignment wrapText="1"/>
    </xf>
    <xf numFmtId="3" fontId="8" fillId="8" borderId="0" xfId="1" applyNumberFormat="1" applyFont="1" applyFill="1"/>
    <xf numFmtId="9" fontId="8" fillId="8" borderId="0" xfId="1" applyNumberFormat="1" applyFont="1" applyFill="1"/>
    <xf numFmtId="0" fontId="14" fillId="0" borderId="0" xfId="1" applyFont="1"/>
    <xf numFmtId="9" fontId="8" fillId="0" borderId="0" xfId="1" applyNumberFormat="1" applyFont="1" applyAlignment="1">
      <alignment horizontal="right" vertical="center" wrapText="1"/>
    </xf>
    <xf numFmtId="0" fontId="12" fillId="8" borderId="0" xfId="1" applyFont="1" applyFill="1"/>
    <xf numFmtId="9" fontId="12" fillId="8" borderId="0" xfId="1" applyNumberFormat="1" applyFont="1" applyFill="1"/>
    <xf numFmtId="165" fontId="23" fillId="9" borderId="0" xfId="1" applyNumberFormat="1" applyFont="1" applyFill="1"/>
    <xf numFmtId="167" fontId="8" fillId="8" borderId="0" xfId="1" applyNumberFormat="1" applyFont="1" applyFill="1"/>
    <xf numFmtId="0" fontId="8" fillId="0" borderId="0" xfId="1" applyFont="1" applyFill="1"/>
    <xf numFmtId="167" fontId="12" fillId="0" borderId="0" xfId="1" applyNumberFormat="1" applyFont="1" applyFill="1"/>
    <xf numFmtId="9" fontId="12" fillId="0" borderId="0" xfId="1" applyNumberFormat="1" applyFont="1" applyFill="1"/>
    <xf numFmtId="0" fontId="12" fillId="0" borderId="0" xfId="1" applyFont="1" applyFill="1"/>
    <xf numFmtId="1" fontId="12" fillId="0" borderId="0" xfId="1" applyNumberFormat="1" applyFont="1"/>
    <xf numFmtId="1" fontId="8" fillId="0" borderId="0" xfId="1" applyNumberFormat="1" applyFont="1"/>
    <xf numFmtId="0" fontId="15" fillId="0" borderId="0" xfId="1" applyFont="1" applyBorder="1"/>
    <xf numFmtId="0" fontId="8" fillId="0" borderId="0" xfId="1" applyFont="1" applyAlignment="1">
      <alignment horizontal="center"/>
    </xf>
    <xf numFmtId="3" fontId="14" fillId="0" borderId="0" xfId="1" applyNumberFormat="1" applyFont="1" applyBorder="1" applyAlignment="1">
      <alignment vertical="center" wrapText="1"/>
    </xf>
    <xf numFmtId="9" fontId="8" fillId="0" borderId="0" xfId="2" applyFont="1" applyAlignment="1">
      <alignment horizontal="center"/>
    </xf>
    <xf numFmtId="168" fontId="14" fillId="0" borderId="0" xfId="1" applyNumberFormat="1" applyFont="1" applyBorder="1" applyAlignment="1">
      <alignment horizontal="center" vertical="center" wrapText="1"/>
    </xf>
    <xf numFmtId="0" fontId="8" fillId="0" borderId="16" xfId="1" applyFont="1" applyBorder="1"/>
    <xf numFmtId="0" fontId="8" fillId="0" borderId="18" xfId="1" applyFont="1" applyBorder="1" applyAlignment="1">
      <alignment vertical="center"/>
    </xf>
    <xf numFmtId="0" fontId="8" fillId="0" borderId="18" xfId="1" applyFont="1" applyBorder="1"/>
    <xf numFmtId="0" fontId="8" fillId="0" borderId="20" xfId="1" applyFont="1" applyBorder="1"/>
    <xf numFmtId="0" fontId="8" fillId="0" borderId="21" xfId="1" applyFont="1" applyBorder="1"/>
    <xf numFmtId="0" fontId="8" fillId="0" borderId="7" xfId="1" applyFont="1" applyBorder="1" applyAlignment="1">
      <alignment wrapText="1"/>
    </xf>
    <xf numFmtId="0" fontId="8" fillId="0" borderId="6" xfId="1" applyFont="1" applyBorder="1" applyAlignment="1">
      <alignment horizontal="center"/>
    </xf>
    <xf numFmtId="0" fontId="8" fillId="0" borderId="22" xfId="1" applyFont="1" applyBorder="1"/>
    <xf numFmtId="0" fontId="12" fillId="0" borderId="23" xfId="1" applyFont="1" applyBorder="1"/>
    <xf numFmtId="3" fontId="12" fillId="0" borderId="10" xfId="1" applyNumberFormat="1" applyFont="1" applyBorder="1"/>
    <xf numFmtId="3" fontId="12" fillId="0" borderId="0" xfId="1" applyNumberFormat="1" applyFont="1" applyBorder="1"/>
    <xf numFmtId="9" fontId="12" fillId="0" borderId="24" xfId="1" applyNumberFormat="1" applyFont="1" applyBorder="1"/>
    <xf numFmtId="0" fontId="8" fillId="0" borderId="23" xfId="1" applyFont="1" applyBorder="1"/>
    <xf numFmtId="3" fontId="8" fillId="0" borderId="10" xfId="1" applyNumberFormat="1" applyFont="1" applyBorder="1"/>
    <xf numFmtId="3" fontId="8" fillId="0" borderId="0" xfId="1" applyNumberFormat="1" applyFont="1" applyBorder="1"/>
    <xf numFmtId="9" fontId="8" fillId="0" borderId="24" xfId="1" applyNumberFormat="1" applyFont="1" applyBorder="1"/>
    <xf numFmtId="0" fontId="12" fillId="0" borderId="25" xfId="1" applyFont="1" applyBorder="1"/>
    <xf numFmtId="3" fontId="12" fillId="0" borderId="1" xfId="1" applyNumberFormat="1" applyFont="1" applyBorder="1"/>
    <xf numFmtId="9" fontId="12" fillId="0" borderId="2" xfId="1" applyNumberFormat="1" applyFont="1" applyBorder="1"/>
    <xf numFmtId="9" fontId="12" fillId="0" borderId="3" xfId="1" applyNumberFormat="1" applyFont="1" applyBorder="1"/>
    <xf numFmtId="3" fontId="12" fillId="0" borderId="2" xfId="1" applyNumberFormat="1" applyFont="1" applyBorder="1"/>
    <xf numFmtId="9" fontId="12" fillId="0" borderId="26" xfId="1" applyNumberFormat="1" applyFont="1" applyBorder="1"/>
    <xf numFmtId="0" fontId="8" fillId="0" borderId="27" xfId="1" applyFont="1" applyBorder="1" applyAlignment="1"/>
    <xf numFmtId="0" fontId="8" fillId="0" borderId="28" xfId="1" applyFont="1" applyBorder="1"/>
    <xf numFmtId="9" fontId="8" fillId="0" borderId="29" xfId="1" applyNumberFormat="1" applyFont="1" applyBorder="1"/>
    <xf numFmtId="9" fontId="8" fillId="0" borderId="30" xfId="1" applyNumberFormat="1" applyFont="1" applyBorder="1"/>
    <xf numFmtId="0" fontId="8" fillId="0" borderId="29" xfId="1" applyFont="1" applyBorder="1"/>
    <xf numFmtId="9" fontId="8" fillId="0" borderId="31" xfId="1" applyNumberFormat="1" applyFont="1" applyBorder="1"/>
    <xf numFmtId="0" fontId="8" fillId="0" borderId="0" xfId="7" applyFont="1"/>
    <xf numFmtId="0" fontId="24" fillId="0" borderId="0" xfId="7" applyFont="1"/>
    <xf numFmtId="0" fontId="12" fillId="0" borderId="0" xfId="7" applyFont="1"/>
    <xf numFmtId="0" fontId="12" fillId="0" borderId="0" xfId="7" applyFont="1" applyAlignment="1">
      <alignment horizontal="center"/>
    </xf>
    <xf numFmtId="0" fontId="8" fillId="0" borderId="0" xfId="7" applyFont="1" applyAlignment="1">
      <alignment horizontal="center" vertical="top"/>
    </xf>
    <xf numFmtId="0" fontId="8" fillId="0" borderId="0" xfId="7" applyFont="1" applyAlignment="1">
      <alignment horizontal="center" vertical="top" wrapText="1"/>
    </xf>
    <xf numFmtId="0" fontId="8" fillId="0" borderId="11" xfId="7" applyFont="1" applyBorder="1" applyAlignment="1">
      <alignment horizontal="center" vertical="top" wrapText="1"/>
    </xf>
    <xf numFmtId="9" fontId="8" fillId="0" borderId="11" xfId="7" applyNumberFormat="1" applyFont="1" applyBorder="1"/>
    <xf numFmtId="9" fontId="12" fillId="0" borderId="11" xfId="7" applyNumberFormat="1" applyFont="1" applyBorder="1"/>
    <xf numFmtId="0" fontId="12" fillId="0" borderId="11" xfId="7" applyFont="1" applyBorder="1" applyAlignment="1">
      <alignment horizontal="center"/>
    </xf>
    <xf numFmtId="0" fontId="8" fillId="0" borderId="11" xfId="7" applyFont="1" applyBorder="1" applyAlignment="1">
      <alignment horizontal="center" vertical="center" wrapText="1"/>
    </xf>
    <xf numFmtId="9" fontId="8" fillId="0" borderId="11" xfId="7" applyNumberFormat="1" applyFont="1" applyBorder="1" applyAlignment="1">
      <alignment horizontal="center"/>
    </xf>
    <xf numFmtId="0" fontId="8" fillId="0" borderId="6" xfId="7" applyFont="1" applyBorder="1"/>
    <xf numFmtId="0" fontId="8" fillId="0" borderId="7" xfId="7" applyFont="1" applyBorder="1"/>
    <xf numFmtId="3" fontId="12" fillId="0" borderId="0" xfId="1" applyNumberFormat="1" applyFont="1"/>
    <xf numFmtId="3" fontId="8" fillId="0" borderId="0" xfId="1" applyNumberFormat="1" applyFont="1"/>
    <xf numFmtId="169" fontId="8" fillId="0" borderId="0" xfId="1" applyNumberFormat="1" applyFont="1"/>
    <xf numFmtId="170" fontId="8" fillId="0" borderId="0" xfId="10" applyFont="1" applyFill="1" applyAlignment="1" applyProtection="1"/>
    <xf numFmtId="170" fontId="12" fillId="0" borderId="0" xfId="10" applyFont="1" applyFill="1" applyAlignment="1" applyProtection="1"/>
    <xf numFmtId="0" fontId="12" fillId="0" borderId="0" xfId="11" applyFont="1"/>
    <xf numFmtId="170" fontId="12" fillId="0" borderId="0" xfId="10" applyFont="1" applyFill="1" applyAlignment="1" applyProtection="1">
      <alignment wrapText="1"/>
    </xf>
    <xf numFmtId="171" fontId="8" fillId="0" borderId="0" xfId="10" applyNumberFormat="1" applyFont="1" applyFill="1" applyAlignment="1" applyProtection="1"/>
    <xf numFmtId="172" fontId="8" fillId="0" borderId="0" xfId="10" applyNumberFormat="1" applyFont="1" applyFill="1" applyAlignment="1" applyProtection="1"/>
    <xf numFmtId="171" fontId="12" fillId="0" borderId="0" xfId="10" applyNumberFormat="1" applyFont="1" applyFill="1" applyAlignment="1" applyProtection="1"/>
    <xf numFmtId="172" fontId="12" fillId="0" borderId="0" xfId="10" applyNumberFormat="1" applyFont="1" applyFill="1" applyAlignment="1" applyProtection="1"/>
    <xf numFmtId="170" fontId="16" fillId="0" borderId="0" xfId="10" applyFont="1" applyFill="1" applyAlignment="1" applyProtection="1"/>
    <xf numFmtId="3" fontId="9" fillId="0" borderId="0" xfId="0" applyNumberFormat="1" applyFont="1"/>
    <xf numFmtId="0" fontId="13" fillId="0" borderId="0" xfId="0" applyFont="1" applyAlignment="1">
      <alignment vertical="center"/>
    </xf>
    <xf numFmtId="0" fontId="15" fillId="0" borderId="68" xfId="1" applyFont="1" applyBorder="1" applyAlignment="1">
      <alignment vertical="center"/>
    </xf>
    <xf numFmtId="0" fontId="14" fillId="0" borderId="6" xfId="8" applyFont="1" applyBorder="1" applyAlignment="1">
      <alignment horizontal="right" vertical="center"/>
    </xf>
    <xf numFmtId="0" fontId="15" fillId="0" borderId="69" xfId="8" applyFont="1" applyBorder="1" applyAlignment="1">
      <alignment horizontal="right" vertical="center"/>
    </xf>
    <xf numFmtId="0" fontId="15" fillId="0" borderId="69" xfId="1" applyFont="1" applyBorder="1" applyAlignment="1">
      <alignment horizontal="right" vertical="center"/>
    </xf>
    <xf numFmtId="0" fontId="14" fillId="0" borderId="69" xfId="1" applyFont="1" applyBorder="1" applyAlignment="1">
      <alignment horizontal="right" vertical="center" wrapText="1"/>
    </xf>
    <xf numFmtId="0" fontId="14" fillId="0" borderId="69" xfId="8" applyFont="1" applyBorder="1" applyAlignment="1">
      <alignment horizontal="right" vertical="center" wrapText="1"/>
    </xf>
    <xf numFmtId="1" fontId="14" fillId="0" borderId="69" xfId="9" applyNumberFormat="1" applyFont="1" applyBorder="1" applyAlignment="1" applyProtection="1">
      <alignment vertical="center"/>
    </xf>
    <xf numFmtId="0" fontId="14" fillId="0" borderId="69" xfId="1" applyFont="1" applyBorder="1" applyAlignment="1">
      <alignment vertical="center"/>
    </xf>
    <xf numFmtId="0" fontId="14" fillId="0" borderId="69" xfId="1" applyFont="1" applyBorder="1" applyAlignment="1">
      <alignment horizontal="right" vertical="center"/>
    </xf>
    <xf numFmtId="9" fontId="14" fillId="0" borderId="69" xfId="9" applyNumberFormat="1" applyFont="1" applyBorder="1" applyAlignment="1" applyProtection="1">
      <alignment vertical="center"/>
    </xf>
    <xf numFmtId="9" fontId="14" fillId="0" borderId="69" xfId="1" applyNumberFormat="1" applyFont="1" applyBorder="1" applyAlignment="1">
      <alignment horizontal="right"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12" fillId="0" borderId="0" xfId="1" applyFont="1" applyAlignment="1">
      <alignment horizontal="left" wrapText="1"/>
    </xf>
    <xf numFmtId="0" fontId="8" fillId="0" borderId="0" xfId="1" applyFont="1" applyBorder="1" applyAlignment="1">
      <alignment horizontal="center" vertical="center"/>
    </xf>
    <xf numFmtId="0" fontId="8" fillId="0" borderId="0" xfId="1" applyFont="1" applyAlignment="1">
      <alignment horizontal="center" vertical="center"/>
    </xf>
    <xf numFmtId="0" fontId="12" fillId="0" borderId="0" xfId="1" applyFont="1" applyAlignment="1">
      <alignment horizontal="center" vertical="center" wrapTex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Alignment="1">
      <alignment horizontal="center" vertical="center" wrapText="1"/>
    </xf>
    <xf numFmtId="9" fontId="8" fillId="0" borderId="0" xfId="1" applyNumberFormat="1" applyFont="1" applyAlignment="1">
      <alignment horizontal="right"/>
    </xf>
    <xf numFmtId="9" fontId="12" fillId="0" borderId="0" xfId="1" applyNumberFormat="1" applyFont="1" applyAlignment="1">
      <alignment horizontal="right"/>
    </xf>
    <xf numFmtId="0" fontId="15" fillId="0" borderId="0" xfId="1" applyFont="1"/>
    <xf numFmtId="9" fontId="15" fillId="0" borderId="0" xfId="1" applyNumberFormat="1" applyFont="1"/>
    <xf numFmtId="1" fontId="8" fillId="0" borderId="0" xfId="1" applyNumberFormat="1" applyFont="1" applyBorder="1"/>
    <xf numFmtId="165" fontId="8" fillId="0" borderId="0" xfId="16" applyNumberFormat="1" applyFont="1"/>
    <xf numFmtId="0" fontId="15" fillId="0" borderId="0" xfId="1" applyFont="1" applyBorder="1" applyAlignment="1">
      <alignment wrapText="1"/>
    </xf>
    <xf numFmtId="9" fontId="8" fillId="0" borderId="0" xfId="1" applyNumberFormat="1" applyFont="1" applyBorder="1" applyAlignment="1">
      <alignment horizontal="center" vertical="center"/>
    </xf>
    <xf numFmtId="0" fontId="14" fillId="0" borderId="0" xfId="1" applyFont="1" applyBorder="1" applyAlignment="1">
      <alignment horizontal="center" vertical="center"/>
    </xf>
    <xf numFmtId="9" fontId="8" fillId="0" borderId="11" xfId="2" applyFont="1" applyBorder="1" applyAlignment="1">
      <alignment horizontal="center"/>
    </xf>
    <xf numFmtId="0" fontId="14" fillId="0" borderId="10" xfId="1" applyFont="1" applyBorder="1" applyAlignment="1">
      <alignment vertical="center"/>
    </xf>
    <xf numFmtId="0" fontId="14" fillId="0" borderId="5" xfId="1" applyFont="1" applyBorder="1" applyAlignment="1">
      <alignment vertical="center"/>
    </xf>
    <xf numFmtId="0" fontId="14" fillId="0" borderId="5" xfId="1" applyFont="1" applyBorder="1" applyAlignment="1">
      <alignment horizontal="center" vertical="center" wrapText="1"/>
    </xf>
    <xf numFmtId="0" fontId="14" fillId="0" borderId="6" xfId="1" applyFont="1" applyBorder="1" applyAlignment="1">
      <alignment horizontal="center" vertical="center"/>
    </xf>
    <xf numFmtId="0" fontId="8" fillId="0" borderId="0" xfId="1" applyFont="1" applyAlignment="1"/>
    <xf numFmtId="0" fontId="14" fillId="0" borderId="0" xfId="0" applyFont="1"/>
    <xf numFmtId="0" fontId="15" fillId="3" borderId="0" xfId="0" applyFont="1" applyFill="1" applyAlignment="1">
      <alignment vertical="center"/>
    </xf>
    <xf numFmtId="0" fontId="14" fillId="3" borderId="0" xfId="0" applyFont="1" applyFill="1" applyAlignment="1">
      <alignment vertical="center"/>
    </xf>
    <xf numFmtId="15" fontId="14" fillId="3" borderId="0" xfId="0" applyNumberFormat="1" applyFont="1" applyFill="1" applyAlignment="1">
      <alignment vertical="center"/>
    </xf>
    <xf numFmtId="0" fontId="15" fillId="3" borderId="12" xfId="0" applyFont="1" applyFill="1" applyBorder="1" applyAlignment="1">
      <alignment horizontal="right" vertical="center"/>
    </xf>
    <xf numFmtId="0" fontId="15" fillId="3" borderId="13" xfId="0" applyFont="1" applyFill="1" applyBorder="1" applyAlignment="1">
      <alignment horizontal="right" vertical="center"/>
    </xf>
    <xf numFmtId="0" fontId="15" fillId="3" borderId="15" xfId="0" applyFont="1" applyFill="1" applyBorder="1" applyAlignment="1">
      <alignment horizontal="right" vertical="center"/>
    </xf>
    <xf numFmtId="0" fontId="15" fillId="3" borderId="14" xfId="0" applyFont="1" applyFill="1" applyBorder="1" applyAlignment="1">
      <alignment horizontal="right" vertical="center" wrapText="1"/>
    </xf>
    <xf numFmtId="0" fontId="15" fillId="3" borderId="12" xfId="0" applyFont="1" applyFill="1" applyBorder="1" applyAlignment="1">
      <alignment vertical="center"/>
    </xf>
    <xf numFmtId="0" fontId="15" fillId="3" borderId="13" xfId="0" applyFont="1" applyFill="1" applyBorder="1" applyAlignment="1">
      <alignment vertical="center"/>
    </xf>
    <xf numFmtId="0" fontId="15" fillId="3" borderId="15" xfId="0" applyFont="1" applyFill="1" applyBorder="1" applyAlignment="1">
      <alignment vertical="center"/>
    </xf>
    <xf numFmtId="9" fontId="15" fillId="3" borderId="14" xfId="3" applyNumberFormat="1" applyFont="1" applyFill="1" applyBorder="1" applyAlignment="1">
      <alignment vertical="center"/>
    </xf>
    <xf numFmtId="0" fontId="15" fillId="3" borderId="0" xfId="0" applyFont="1" applyFill="1" applyBorder="1" applyAlignment="1">
      <alignment vertical="center"/>
    </xf>
    <xf numFmtId="9" fontId="15" fillId="3" borderId="0" xfId="3" applyNumberFormat="1" applyFont="1" applyFill="1" applyBorder="1" applyAlignment="1">
      <alignment vertical="center"/>
    </xf>
    <xf numFmtId="49" fontId="8" fillId="0" borderId="0" xfId="1" applyNumberFormat="1" applyFont="1" applyAlignment="1">
      <alignment horizontal="center" vertical="center"/>
    </xf>
    <xf numFmtId="0" fontId="8" fillId="0" borderId="0" xfId="1" applyFont="1" applyFill="1" applyAlignment="1">
      <alignment wrapText="1"/>
    </xf>
    <xf numFmtId="0" fontId="12" fillId="11" borderId="62" xfId="1" applyFont="1" applyFill="1" applyBorder="1" applyAlignment="1">
      <alignment horizontal="center"/>
    </xf>
    <xf numFmtId="0" fontId="12" fillId="0" borderId="63" xfId="1" applyFont="1" applyFill="1" applyBorder="1" applyAlignment="1">
      <alignment horizontal="center"/>
    </xf>
    <xf numFmtId="1" fontId="12" fillId="0" borderId="63" xfId="1" applyNumberFormat="1" applyFont="1" applyFill="1" applyBorder="1" applyAlignment="1">
      <alignment horizontal="center"/>
    </xf>
    <xf numFmtId="174" fontId="12" fillId="0" borderId="63" xfId="1" applyNumberFormat="1" applyFont="1" applyFill="1" applyBorder="1" applyAlignment="1">
      <alignment horizontal="center"/>
    </xf>
    <xf numFmtId="0" fontId="8" fillId="0" borderId="63" xfId="1" applyFont="1" applyFill="1" applyBorder="1" applyAlignment="1">
      <alignment horizontal="center"/>
    </xf>
    <xf numFmtId="9" fontId="12" fillId="11" borderId="63" xfId="1" applyNumberFormat="1" applyFont="1" applyFill="1" applyBorder="1" applyAlignment="1">
      <alignment horizontal="center"/>
    </xf>
    <xf numFmtId="0" fontId="12" fillId="11" borderId="64" xfId="1" applyFont="1" applyFill="1" applyBorder="1" applyAlignment="1">
      <alignment horizontal="center"/>
    </xf>
    <xf numFmtId="0" fontId="12" fillId="0" borderId="65" xfId="1" applyFont="1" applyFill="1" applyBorder="1" applyAlignment="1">
      <alignment horizontal="center"/>
    </xf>
    <xf numFmtId="1" fontId="12" fillId="0" borderId="65" xfId="1" applyNumberFormat="1" applyFont="1" applyFill="1" applyBorder="1" applyAlignment="1">
      <alignment horizontal="center"/>
    </xf>
    <xf numFmtId="174" fontId="12" fillId="0" borderId="65" xfId="1" applyNumberFormat="1" applyFont="1" applyFill="1" applyBorder="1" applyAlignment="1">
      <alignment horizontal="center"/>
    </xf>
    <xf numFmtId="0" fontId="12" fillId="11" borderId="66" xfId="1" applyFont="1" applyFill="1" applyBorder="1" applyAlignment="1">
      <alignment horizontal="center"/>
    </xf>
    <xf numFmtId="0" fontId="12" fillId="0" borderId="67" xfId="1" applyFont="1" applyFill="1" applyBorder="1" applyAlignment="1">
      <alignment horizontal="center"/>
    </xf>
    <xf numFmtId="1" fontId="12" fillId="0" borderId="67" xfId="1" applyNumberFormat="1" applyFont="1" applyFill="1" applyBorder="1" applyAlignment="1">
      <alignment horizontal="center"/>
    </xf>
    <xf numFmtId="174" fontId="12" fillId="0" borderId="67" xfId="1" applyNumberFormat="1" applyFont="1" applyFill="1" applyBorder="1" applyAlignment="1">
      <alignment horizontal="center"/>
    </xf>
    <xf numFmtId="174" fontId="12" fillId="0" borderId="0" xfId="1" applyNumberFormat="1" applyFont="1"/>
    <xf numFmtId="164" fontId="8" fillId="0" borderId="0" xfId="1" applyNumberFormat="1" applyFont="1"/>
    <xf numFmtId="0" fontId="8" fillId="5" borderId="0" xfId="1" applyFont="1" applyFill="1"/>
    <xf numFmtId="0" fontId="8" fillId="0" borderId="0" xfId="1" applyFont="1" applyAlignment="1">
      <alignment horizontal="right"/>
    </xf>
    <xf numFmtId="164" fontId="12" fillId="0" borderId="0" xfId="1" applyNumberFormat="1" applyFont="1"/>
    <xf numFmtId="9" fontId="8" fillId="5" borderId="0" xfId="1" applyNumberFormat="1" applyFont="1" applyFill="1"/>
    <xf numFmtId="0" fontId="11" fillId="3" borderId="41" xfId="1" applyFont="1" applyFill="1" applyBorder="1" applyAlignment="1">
      <alignment horizontal="center" vertical="center" wrapText="1"/>
    </xf>
    <xf numFmtId="0" fontId="9" fillId="3" borderId="41" xfId="1" applyFont="1" applyFill="1" applyBorder="1" applyAlignment="1">
      <alignment horizontal="center" vertical="center" wrapText="1"/>
    </xf>
    <xf numFmtId="9" fontId="11" fillId="3" borderId="41" xfId="1" applyNumberFormat="1" applyFont="1" applyFill="1" applyBorder="1" applyAlignment="1">
      <alignment horizontal="center" vertical="center" wrapText="1"/>
    </xf>
    <xf numFmtId="0" fontId="9" fillId="3" borderId="0" xfId="1" applyFont="1" applyFill="1" applyBorder="1" applyAlignment="1">
      <alignment horizontal="center" vertical="center" wrapText="1"/>
    </xf>
    <xf numFmtId="0" fontId="13" fillId="3" borderId="0" xfId="1" applyFont="1" applyFill="1"/>
    <xf numFmtId="0" fontId="15"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4" fillId="0" borderId="0" xfId="1" applyFont="1" applyAlignment="1">
      <alignment horizontal="left"/>
    </xf>
    <xf numFmtId="0" fontId="14" fillId="0" borderId="0" xfId="1" applyFont="1" applyAlignment="1"/>
    <xf numFmtId="1" fontId="12" fillId="0" borderId="0" xfId="9" applyNumberFormat="1" applyFont="1"/>
    <xf numFmtId="1" fontId="24" fillId="0" borderId="0" xfId="9" applyNumberFormat="1" applyFont="1"/>
    <xf numFmtId="1" fontId="24" fillId="0" borderId="0" xfId="1" applyNumberFormat="1" applyFont="1"/>
    <xf numFmtId="9" fontId="23" fillId="0" borderId="0" xfId="1" applyNumberFormat="1" applyFont="1"/>
    <xf numFmtId="9" fontId="24" fillId="0" borderId="0" xfId="1" applyNumberFormat="1" applyFont="1"/>
    <xf numFmtId="9" fontId="15" fillId="0" borderId="11" xfId="0" applyNumberFormat="1" applyFont="1" applyFill="1" applyBorder="1" applyAlignment="1">
      <alignment horizontal="center"/>
    </xf>
    <xf numFmtId="9" fontId="14" fillId="0" borderId="59" xfId="0" applyNumberFormat="1" applyFont="1" applyBorder="1" applyAlignment="1">
      <alignment horizontal="center" vertical="center"/>
    </xf>
    <xf numFmtId="175" fontId="12" fillId="0" borderId="69" xfId="8" applyNumberFormat="1" applyFont="1" applyBorder="1" applyAlignment="1">
      <alignment horizontal="right" vertical="center" wrapText="1"/>
    </xf>
    <xf numFmtId="9" fontId="24" fillId="0" borderId="69" xfId="9" applyFont="1" applyBorder="1" applyAlignment="1" applyProtection="1">
      <alignment horizontal="right" vertical="center"/>
    </xf>
    <xf numFmtId="164" fontId="12" fillId="0" borderId="0" xfId="9" applyNumberFormat="1" applyFont="1"/>
    <xf numFmtId="0" fontId="14" fillId="0" borderId="0" xfId="1" applyFont="1" applyBorder="1" applyAlignment="1">
      <alignment vertical="center"/>
    </xf>
    <xf numFmtId="175" fontId="14" fillId="0" borderId="0" xfId="8" applyNumberFormat="1" applyFont="1" applyBorder="1" applyAlignment="1">
      <alignment horizontal="right" vertical="center" wrapText="1"/>
    </xf>
    <xf numFmtId="9" fontId="32" fillId="0" borderId="0" xfId="9" applyFont="1" applyBorder="1" applyAlignment="1" applyProtection="1">
      <alignment horizontal="right" vertical="center"/>
    </xf>
    <xf numFmtId="0" fontId="12" fillId="3" borderId="10" xfId="1" applyFont="1" applyFill="1" applyBorder="1" applyAlignment="1">
      <alignment horizontal="center" vertical="center" wrapText="1"/>
    </xf>
    <xf numFmtId="0" fontId="12" fillId="3" borderId="0" xfId="1" applyFont="1" applyFill="1" applyBorder="1" applyAlignment="1">
      <alignment horizontal="center" vertical="center" wrapText="1"/>
    </xf>
    <xf numFmtId="9" fontId="12" fillId="3" borderId="11" xfId="1" applyNumberFormat="1" applyFont="1" applyFill="1" applyBorder="1" applyAlignment="1">
      <alignment horizontal="center" vertical="center" wrapText="1"/>
    </xf>
    <xf numFmtId="0" fontId="12" fillId="13" borderId="10" xfId="1" applyFont="1" applyFill="1" applyBorder="1" applyAlignment="1">
      <alignment horizontal="center" vertical="center" wrapText="1"/>
    </xf>
    <xf numFmtId="0" fontId="12" fillId="13" borderId="0" xfId="1" applyFont="1" applyFill="1" applyBorder="1" applyAlignment="1">
      <alignment horizontal="center" vertical="center" wrapText="1"/>
    </xf>
    <xf numFmtId="9" fontId="12" fillId="13" borderId="11" xfId="1" applyNumberFormat="1" applyFont="1" applyFill="1" applyBorder="1" applyAlignment="1">
      <alignment horizontal="center" vertical="center" wrapText="1"/>
    </xf>
    <xf numFmtId="9" fontId="12" fillId="13" borderId="9" xfId="1" applyNumberFormat="1" applyFont="1" applyFill="1" applyBorder="1" applyAlignment="1">
      <alignment horizontal="center" vertical="center" wrapText="1"/>
    </xf>
    <xf numFmtId="0" fontId="12" fillId="13" borderId="9" xfId="1" applyFont="1" applyFill="1" applyBorder="1" applyAlignment="1">
      <alignment horizontal="center" vertical="center" wrapText="1"/>
    </xf>
    <xf numFmtId="0" fontId="14" fillId="0" borderId="69" xfId="1" applyFont="1" applyBorder="1" applyAlignment="1">
      <alignment horizontal="left" vertical="center" wrapText="1"/>
    </xf>
    <xf numFmtId="0" fontId="15" fillId="0" borderId="69" xfId="1" applyFont="1" applyBorder="1" applyAlignment="1">
      <alignment horizontal="right" vertical="center" wrapText="1"/>
    </xf>
    <xf numFmtId="0" fontId="33" fillId="0" borderId="69" xfId="1" applyFont="1" applyBorder="1" applyAlignment="1">
      <alignment horizontal="right" vertical="center" wrapText="1"/>
    </xf>
    <xf numFmtId="9" fontId="32" fillId="0" borderId="69" xfId="9" applyNumberFormat="1" applyFont="1" applyBorder="1" applyAlignment="1" applyProtection="1">
      <alignment horizontal="right" vertical="center"/>
    </xf>
    <xf numFmtId="9" fontId="32" fillId="0" borderId="69" xfId="9" applyNumberFormat="1" applyFont="1" applyBorder="1" applyAlignment="1" applyProtection="1">
      <alignment horizontal="right" vertical="center" wrapText="1"/>
    </xf>
    <xf numFmtId="0" fontId="8" fillId="0" borderId="69" xfId="8" applyFont="1" applyBorder="1" applyAlignment="1">
      <alignment horizontal="right" vertical="center" wrapText="1"/>
    </xf>
    <xf numFmtId="0" fontId="8" fillId="0" borderId="68" xfId="1" applyFont="1" applyBorder="1" applyAlignment="1">
      <alignment horizontal="right" vertical="center" wrapText="1"/>
    </xf>
    <xf numFmtId="0" fontId="12" fillId="0" borderId="69" xfId="1" applyFont="1" applyBorder="1" applyAlignment="1">
      <alignment horizontal="right" vertical="center" wrapText="1"/>
    </xf>
    <xf numFmtId="0" fontId="12" fillId="0" borderId="69" xfId="1" applyFont="1" applyBorder="1" applyAlignment="1">
      <alignment vertical="center"/>
    </xf>
    <xf numFmtId="9" fontId="12" fillId="0" borderId="69" xfId="9" applyNumberFormat="1" applyFont="1" applyBorder="1" applyAlignment="1" applyProtection="1">
      <alignment horizontal="right" vertical="center"/>
    </xf>
    <xf numFmtId="0" fontId="12" fillId="0" borderId="4" xfId="1" applyFont="1" applyBorder="1"/>
    <xf numFmtId="0" fontId="12" fillId="0" borderId="1" xfId="1" applyFont="1" applyBorder="1" applyAlignment="1">
      <alignment horizontal="center" wrapText="1"/>
    </xf>
    <xf numFmtId="0" fontId="12" fillId="3" borderId="2" xfId="1" applyFont="1" applyFill="1" applyBorder="1"/>
    <xf numFmtId="9" fontId="8" fillId="3" borderId="2" xfId="1" applyNumberFormat="1" applyFont="1" applyFill="1" applyBorder="1" applyAlignment="1">
      <alignment horizontal="center"/>
    </xf>
    <xf numFmtId="9" fontId="8" fillId="3" borderId="3" xfId="1" applyNumberFormat="1" applyFont="1" applyFill="1" applyBorder="1" applyAlignment="1">
      <alignment horizontal="center"/>
    </xf>
    <xf numFmtId="0" fontId="12" fillId="0" borderId="8" xfId="1" applyFont="1" applyBorder="1"/>
    <xf numFmtId="0" fontId="12" fillId="3" borderId="6" xfId="1" applyFont="1" applyFill="1" applyBorder="1"/>
    <xf numFmtId="9" fontId="8" fillId="3" borderId="6" xfId="1" applyNumberFormat="1" applyFont="1" applyFill="1" applyBorder="1" applyAlignment="1">
      <alignment horizontal="center"/>
    </xf>
    <xf numFmtId="9" fontId="8" fillId="3" borderId="7" xfId="1" applyNumberFormat="1" applyFont="1" applyFill="1" applyBorder="1" applyAlignment="1">
      <alignment horizontal="center"/>
    </xf>
    <xf numFmtId="0" fontId="24" fillId="0" borderId="10" xfId="1" applyFont="1" applyBorder="1" applyAlignment="1">
      <alignment horizontal="center"/>
    </xf>
    <xf numFmtId="0" fontId="12" fillId="3" borderId="0" xfId="1" applyFont="1" applyFill="1" applyBorder="1"/>
    <xf numFmtId="9" fontId="8" fillId="3" borderId="0" xfId="1" applyNumberFormat="1" applyFont="1" applyFill="1" applyBorder="1" applyAlignment="1">
      <alignment horizontal="center"/>
    </xf>
    <xf numFmtId="0" fontId="12" fillId="0" borderId="15" xfId="1" applyFont="1" applyBorder="1"/>
    <xf numFmtId="0" fontId="12" fillId="0" borderId="12" xfId="1" applyFont="1" applyBorder="1" applyAlignment="1">
      <alignment horizontal="center"/>
    </xf>
    <xf numFmtId="0" fontId="12" fillId="3" borderId="13" xfId="1" applyFont="1" applyFill="1" applyBorder="1"/>
    <xf numFmtId="9" fontId="8" fillId="3" borderId="13" xfId="1" applyNumberFormat="1" applyFont="1" applyFill="1" applyBorder="1" applyAlignment="1">
      <alignment horizontal="center"/>
    </xf>
    <xf numFmtId="9" fontId="8" fillId="3" borderId="14" xfId="1" applyNumberFormat="1" applyFont="1" applyFill="1" applyBorder="1" applyAlignment="1">
      <alignment horizontal="center"/>
    </xf>
    <xf numFmtId="0" fontId="8" fillId="14" borderId="0" xfId="1" applyFont="1" applyFill="1"/>
    <xf numFmtId="0" fontId="12" fillId="14" borderId="0" xfId="1" applyFont="1" applyFill="1"/>
    <xf numFmtId="0" fontId="8" fillId="3" borderId="0" xfId="1" applyFont="1" applyFill="1"/>
    <xf numFmtId="9" fontId="8" fillId="3" borderId="0" xfId="1" applyNumberFormat="1" applyFont="1" applyFill="1"/>
    <xf numFmtId="0" fontId="2" fillId="0" borderId="0" xfId="0" applyFont="1"/>
    <xf numFmtId="0" fontId="9" fillId="0" borderId="0" xfId="0" applyFont="1" applyAlignment="1">
      <alignment wrapText="1"/>
    </xf>
    <xf numFmtId="0" fontId="8" fillId="0" borderId="0" xfId="1" applyFont="1" applyAlignment="1">
      <alignment horizontal="center" wrapText="1"/>
    </xf>
    <xf numFmtId="3" fontId="8" fillId="0" borderId="0" xfId="1" applyNumberFormat="1" applyFont="1" applyAlignment="1">
      <alignment wrapText="1"/>
    </xf>
    <xf numFmtId="0" fontId="24" fillId="0" borderId="0" xfId="1" applyFont="1" applyAlignment="1"/>
    <xf numFmtId="9" fontId="12" fillId="0" borderId="0" xfId="1" applyNumberFormat="1" applyFont="1" applyAlignment="1">
      <alignment wrapText="1"/>
    </xf>
    <xf numFmtId="3" fontId="12" fillId="0" borderId="0" xfId="1" applyNumberFormat="1" applyFont="1" applyAlignment="1">
      <alignment wrapText="1"/>
    </xf>
    <xf numFmtId="0" fontId="8" fillId="0" borderId="2" xfId="1" applyFont="1" applyBorder="1" applyAlignment="1"/>
    <xf numFmtId="9" fontId="8" fillId="0" borderId="2" xfId="1" applyNumberFormat="1" applyFont="1" applyBorder="1" applyAlignment="1">
      <alignment wrapText="1"/>
    </xf>
    <xf numFmtId="3" fontId="8" fillId="0" borderId="2" xfId="1" applyNumberFormat="1" applyFont="1" applyBorder="1" applyAlignment="1">
      <alignment wrapText="1"/>
    </xf>
    <xf numFmtId="0" fontId="8" fillId="0" borderId="13" xfId="1" applyFont="1" applyBorder="1" applyAlignment="1"/>
    <xf numFmtId="9" fontId="8" fillId="0" borderId="13" xfId="1" applyNumberFormat="1" applyFont="1" applyBorder="1" applyAlignment="1">
      <alignment wrapText="1"/>
    </xf>
    <xf numFmtId="3" fontId="8" fillId="0" borderId="13" xfId="1" applyNumberFormat="1" applyFont="1" applyBorder="1" applyAlignment="1">
      <alignment wrapText="1"/>
    </xf>
    <xf numFmtId="0" fontId="9" fillId="0" borderId="0" xfId="0" applyFont="1" applyAlignment="1"/>
    <xf numFmtId="3" fontId="8" fillId="14" borderId="0" xfId="1" applyNumberFormat="1" applyFont="1" applyFill="1"/>
    <xf numFmtId="9" fontId="8" fillId="14" borderId="0" xfId="1" applyNumberFormat="1" applyFont="1" applyFill="1"/>
    <xf numFmtId="164" fontId="8" fillId="5" borderId="0" xfId="1" applyNumberFormat="1" applyFont="1" applyFill="1"/>
    <xf numFmtId="0" fontId="12" fillId="0" borderId="0" xfId="1" applyFont="1" applyAlignment="1">
      <alignment horizontal="left" vertical="center" wrapText="1"/>
    </xf>
    <xf numFmtId="9" fontId="13" fillId="0" borderId="0" xfId="15" applyFont="1"/>
    <xf numFmtId="0" fontId="14" fillId="0" borderId="15" xfId="14" applyFont="1" applyBorder="1"/>
    <xf numFmtId="0" fontId="15" fillId="0" borderId="15" xfId="14" applyFont="1" applyBorder="1" applyAlignment="1">
      <alignment horizontal="center"/>
    </xf>
    <xf numFmtId="0" fontId="15" fillId="0" borderId="15" xfId="14" applyFont="1" applyFill="1" applyBorder="1" applyAlignment="1">
      <alignment horizontal="center" wrapText="1"/>
    </xf>
    <xf numFmtId="9" fontId="34" fillId="0" borderId="0" xfId="15" applyFont="1"/>
    <xf numFmtId="173" fontId="9" fillId="0" borderId="15" xfId="0" applyNumberFormat="1" applyFont="1" applyBorder="1"/>
    <xf numFmtId="9" fontId="9" fillId="0" borderId="15" xfId="3" applyFont="1" applyBorder="1"/>
    <xf numFmtId="0" fontId="15" fillId="3" borderId="15" xfId="14" applyFont="1" applyFill="1" applyBorder="1"/>
    <xf numFmtId="0" fontId="11" fillId="15" borderId="0" xfId="0" applyFont="1" applyFill="1" applyAlignment="1">
      <alignment horizontal="left"/>
    </xf>
    <xf numFmtId="0" fontId="12" fillId="0" borderId="0" xfId="1" applyFont="1" applyAlignment="1">
      <alignment horizontal="left" vertical="center" wrapText="1"/>
    </xf>
    <xf numFmtId="0" fontId="15" fillId="0" borderId="0" xfId="12" applyFont="1" applyFill="1" applyBorder="1" applyAlignment="1">
      <alignment vertical="center"/>
    </xf>
    <xf numFmtId="0" fontId="15" fillId="0" borderId="0" xfId="12" applyFont="1" applyFill="1" applyBorder="1" applyAlignment="1">
      <alignment horizontal="center" vertical="center"/>
    </xf>
    <xf numFmtId="9" fontId="15" fillId="0" borderId="0" xfId="12" applyNumberFormat="1" applyFont="1" applyFill="1" applyBorder="1" applyAlignment="1">
      <alignment horizontal="center" vertical="center"/>
    </xf>
    <xf numFmtId="3" fontId="12" fillId="0" borderId="60" xfId="1" applyNumberFormat="1" applyFont="1" applyBorder="1" applyAlignment="1">
      <alignment horizontal="center"/>
    </xf>
    <xf numFmtId="173" fontId="12" fillId="3" borderId="60" xfId="1" applyNumberFormat="1" applyFont="1" applyFill="1" applyBorder="1" applyAlignment="1">
      <alignment horizontal="center"/>
    </xf>
    <xf numFmtId="3" fontId="12" fillId="3" borderId="60" xfId="1" applyNumberFormat="1" applyFont="1" applyFill="1" applyBorder="1" applyAlignment="1">
      <alignment horizontal="center"/>
    </xf>
    <xf numFmtId="0" fontId="12" fillId="0" borderId="61" xfId="1" applyFont="1" applyFill="1" applyBorder="1" applyAlignment="1">
      <alignment horizontal="center"/>
    </xf>
    <xf numFmtId="9" fontId="8" fillId="0" borderId="0" xfId="1" applyNumberFormat="1" applyFont="1" applyFill="1"/>
    <xf numFmtId="3" fontId="12" fillId="0" borderId="0" xfId="1" applyNumberFormat="1" applyFont="1" applyFill="1"/>
    <xf numFmtId="3" fontId="12" fillId="0" borderId="60" xfId="1" applyNumberFormat="1" applyFont="1" applyFill="1" applyBorder="1" applyAlignment="1">
      <alignment horizontal="center"/>
    </xf>
    <xf numFmtId="0" fontId="12" fillId="0" borderId="60" xfId="1" applyFont="1" applyBorder="1" applyAlignment="1">
      <alignment horizontal="center"/>
    </xf>
    <xf numFmtId="173" fontId="12" fillId="0" borderId="60" xfId="1" applyNumberFormat="1" applyFont="1" applyBorder="1" applyAlignment="1">
      <alignment horizontal="center"/>
    </xf>
    <xf numFmtId="0" fontId="8" fillId="0" borderId="0" xfId="1" applyFont="1" applyAlignment="1">
      <alignment vertical="top"/>
    </xf>
    <xf numFmtId="0" fontId="8" fillId="0" borderId="0" xfId="1" applyFont="1" applyAlignment="1">
      <alignment vertical="top" wrapText="1"/>
    </xf>
    <xf numFmtId="0" fontId="12" fillId="0" borderId="0" xfId="1" applyFont="1" applyAlignment="1">
      <alignment vertical="top"/>
    </xf>
    <xf numFmtId="0" fontId="24" fillId="0" borderId="0" xfId="1" applyFont="1" applyAlignment="1">
      <alignment vertical="top" wrapText="1"/>
    </xf>
    <xf numFmtId="0" fontId="8" fillId="0" borderId="62" xfId="1" applyFont="1" applyFill="1" applyBorder="1" applyAlignment="1">
      <alignment horizontal="center"/>
    </xf>
    <xf numFmtId="1" fontId="8" fillId="0" borderId="63" xfId="1" applyNumberFormat="1" applyFont="1" applyFill="1" applyBorder="1" applyAlignment="1">
      <alignment horizontal="center"/>
    </xf>
    <xf numFmtId="174" fontId="8" fillId="0" borderId="63" xfId="1" applyNumberFormat="1" applyFont="1" applyFill="1" applyBorder="1" applyAlignment="1">
      <alignment horizontal="center"/>
    </xf>
    <xf numFmtId="9" fontId="8" fillId="0" borderId="63" xfId="1" applyNumberFormat="1" applyFont="1" applyFill="1" applyBorder="1" applyAlignment="1">
      <alignment horizontal="center"/>
    </xf>
    <xf numFmtId="0" fontId="8" fillId="0" borderId="15" xfId="1" applyFont="1" applyBorder="1" applyAlignment="1">
      <alignment vertical="center"/>
    </xf>
    <xf numFmtId="0" fontId="8" fillId="3" borderId="15" xfId="1" applyFont="1" applyFill="1" applyBorder="1" applyAlignment="1">
      <alignment vertical="center"/>
    </xf>
    <xf numFmtId="0" fontId="12" fillId="3" borderId="15" xfId="1" applyFont="1" applyFill="1" applyBorder="1"/>
    <xf numFmtId="0" fontId="23" fillId="0" borderId="15" xfId="1" applyFont="1" applyBorder="1"/>
    <xf numFmtId="1" fontId="8" fillId="0" borderId="15" xfId="9" applyNumberFormat="1" applyFont="1" applyBorder="1"/>
    <xf numFmtId="9" fontId="8" fillId="3" borderId="15" xfId="1" applyNumberFormat="1" applyFont="1" applyFill="1" applyBorder="1"/>
    <xf numFmtId="0" fontId="12" fillId="3" borderId="15" xfId="1" applyNumberFormat="1" applyFont="1" applyFill="1" applyBorder="1"/>
    <xf numFmtId="9" fontId="8" fillId="12" borderId="15" xfId="0" applyNumberFormat="1" applyFont="1" applyFill="1" applyBorder="1"/>
    <xf numFmtId="9" fontId="12" fillId="3" borderId="15" xfId="9" applyFont="1" applyFill="1" applyBorder="1"/>
    <xf numFmtId="9" fontId="9" fillId="3" borderId="15" xfId="9" applyFont="1" applyFill="1" applyBorder="1" applyAlignment="1">
      <alignment horizontal="center"/>
    </xf>
    <xf numFmtId="0" fontId="12" fillId="16" borderId="11" xfId="1" applyFont="1" applyFill="1" applyBorder="1"/>
    <xf numFmtId="0" fontId="8" fillId="0" borderId="69" xfId="1" applyFont="1" applyBorder="1" applyAlignment="1">
      <alignment horizontal="right" vertical="center" wrapText="1"/>
    </xf>
    <xf numFmtId="0" fontId="8" fillId="0" borderId="13" xfId="1" applyFont="1" applyBorder="1" applyAlignment="1">
      <alignment horizontal="right" vertical="center" wrapText="1"/>
    </xf>
    <xf numFmtId="9" fontId="11" fillId="0" borderId="15" xfId="3" applyFont="1" applyBorder="1"/>
    <xf numFmtId="0" fontId="9" fillId="0" borderId="0" xfId="0" applyFont="1" applyBorder="1" applyAlignment="1">
      <alignment horizontal="center" wrapText="1"/>
    </xf>
    <xf numFmtId="0" fontId="11" fillId="0" borderId="0" xfId="0" applyFont="1" applyBorder="1"/>
    <xf numFmtId="9" fontId="11" fillId="0" borderId="0" xfId="3" applyFont="1" applyBorder="1"/>
    <xf numFmtId="9" fontId="8" fillId="3" borderId="0" xfId="2" applyFont="1" applyFill="1" applyAlignment="1">
      <alignment horizontal="center"/>
    </xf>
    <xf numFmtId="3" fontId="15" fillId="3" borderId="0" xfId="1" applyNumberFormat="1" applyFont="1" applyFill="1" applyBorder="1" applyAlignment="1">
      <alignment vertical="center" wrapText="1"/>
    </xf>
    <xf numFmtId="168" fontId="15" fillId="3" borderId="0" xfId="1" applyNumberFormat="1" applyFont="1" applyFill="1" applyBorder="1" applyAlignment="1">
      <alignment horizontal="center" vertical="center" wrapText="1"/>
    </xf>
    <xf numFmtId="170" fontId="8" fillId="0" borderId="0" xfId="10" applyFont="1" applyFill="1" applyAlignment="1" applyProtection="1">
      <alignment vertical="top"/>
    </xf>
    <xf numFmtId="0" fontId="14" fillId="0" borderId="0" xfId="14" applyFont="1"/>
    <xf numFmtId="9" fontId="15" fillId="0" borderId="0" xfId="15" applyFont="1" applyAlignment="1">
      <alignment vertical="top" wrapText="1"/>
    </xf>
    <xf numFmtId="0" fontId="9" fillId="0" borderId="11" xfId="0" applyFont="1" applyBorder="1"/>
    <xf numFmtId="3" fontId="9" fillId="0" borderId="0" xfId="0" applyNumberFormat="1" applyFont="1" applyBorder="1"/>
    <xf numFmtId="9" fontId="9" fillId="0" borderId="11" xfId="0" applyNumberFormat="1" applyFont="1" applyBorder="1"/>
    <xf numFmtId="0" fontId="11" fillId="0" borderId="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8" fillId="0" borderId="0" xfId="1" applyFont="1" applyAlignment="1">
      <alignment horizontal="center" vertical="center"/>
    </xf>
    <xf numFmtId="0" fontId="12" fillId="0" borderId="0" xfId="1" applyFont="1" applyAlignment="1">
      <alignment horizontal="center" vertical="center" wrapText="1"/>
    </xf>
    <xf numFmtId="0" fontId="8" fillId="0" borderId="0" xfId="1" applyFont="1" applyAlignment="1">
      <alignment horizontal="center" vertical="center" wrapText="1"/>
    </xf>
    <xf numFmtId="9" fontId="12" fillId="0" borderId="10" xfId="1" applyNumberFormat="1" applyFont="1" applyBorder="1" applyAlignment="1">
      <alignment horizontal="right"/>
    </xf>
    <xf numFmtId="9" fontId="12" fillId="0" borderId="11" xfId="1" applyNumberFormat="1" applyFont="1" applyBorder="1" applyAlignment="1">
      <alignment horizontal="right"/>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8" fillId="0" borderId="6" xfId="1" applyFont="1" applyBorder="1" applyAlignment="1">
      <alignment horizontal="center"/>
    </xf>
    <xf numFmtId="0" fontId="8" fillId="0" borderId="7" xfId="1" applyFont="1" applyBorder="1" applyAlignment="1">
      <alignment horizontal="center"/>
    </xf>
    <xf numFmtId="0" fontId="8" fillId="0" borderId="10" xfId="1" applyFont="1" applyBorder="1" applyAlignment="1">
      <alignment horizontal="center" wrapText="1"/>
    </xf>
    <xf numFmtId="0" fontId="8" fillId="0" borderId="11" xfId="1" applyFont="1" applyBorder="1" applyAlignment="1">
      <alignment horizont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12" fillId="0" borderId="0" xfId="1" applyFont="1" applyAlignment="1">
      <alignment horizontal="left" vertical="center" wrapText="1"/>
    </xf>
    <xf numFmtId="0" fontId="12" fillId="0" borderId="0" xfId="1" applyFont="1" applyAlignment="1">
      <alignment horizontal="center" wrapText="1"/>
    </xf>
    <xf numFmtId="0" fontId="11" fillId="0" borderId="0" xfId="0" applyFont="1" applyAlignment="1">
      <alignment horizontal="center" vertical="center"/>
    </xf>
    <xf numFmtId="0" fontId="9" fillId="0" borderId="0" xfId="0" applyFont="1" applyAlignment="1">
      <alignment horizontal="center" vertical="center"/>
    </xf>
    <xf numFmtId="0" fontId="14" fillId="3" borderId="4" xfId="0" applyFont="1" applyFill="1" applyBorder="1" applyAlignment="1">
      <alignment horizontal="left" vertical="center"/>
    </xf>
    <xf numFmtId="0" fontId="14" fillId="3" borderId="8" xfId="0" applyFont="1" applyFill="1" applyBorder="1" applyAlignment="1">
      <alignment horizontal="left" vertical="center"/>
    </xf>
    <xf numFmtId="15" fontId="15" fillId="3" borderId="12" xfId="0" applyNumberFormat="1" applyFont="1" applyFill="1" applyBorder="1" applyAlignment="1">
      <alignment horizontal="center" vertical="center"/>
    </xf>
    <xf numFmtId="15" fontId="15" fillId="3" borderId="13" xfId="0" applyNumberFormat="1" applyFont="1" applyFill="1" applyBorder="1" applyAlignment="1">
      <alignment horizontal="center" vertical="center"/>
    </xf>
    <xf numFmtId="15" fontId="15" fillId="3" borderId="14" xfId="0" applyNumberFormat="1" applyFont="1" applyFill="1" applyBorder="1" applyAlignment="1">
      <alignment horizontal="center" vertical="center"/>
    </xf>
    <xf numFmtId="49" fontId="8" fillId="0" borderId="0" xfId="1" applyNumberFormat="1" applyFont="1" applyAlignment="1">
      <alignment horizontal="center" vertical="center"/>
    </xf>
    <xf numFmtId="0" fontId="15" fillId="0" borderId="0" xfId="0" applyFont="1" applyBorder="1" applyAlignment="1">
      <alignment horizontal="center" vertical="center"/>
    </xf>
    <xf numFmtId="0" fontId="15"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8" fillId="0" borderId="0" xfId="1" applyFont="1" applyAlignment="1">
      <alignment horizontal="center" vertical="center" textRotation="90"/>
    </xf>
    <xf numFmtId="0" fontId="8" fillId="0" borderId="0" xfId="1" applyFont="1" applyAlignment="1">
      <alignment horizontal="center" vertical="center" textRotation="90" wrapText="1"/>
    </xf>
    <xf numFmtId="0" fontId="12" fillId="0" borderId="0" xfId="1" applyFont="1" applyAlignment="1">
      <alignment horizontal="center" vertical="center"/>
    </xf>
    <xf numFmtId="0" fontId="12" fillId="0" borderId="0" xfId="1" applyFont="1" applyAlignment="1">
      <alignment horizontal="left" wrapText="1"/>
    </xf>
    <xf numFmtId="0" fontId="8" fillId="0" borderId="0" xfId="1" applyFont="1" applyFill="1" applyAlignment="1">
      <alignment horizontal="center" vertical="center"/>
    </xf>
    <xf numFmtId="0" fontId="11" fillId="3" borderId="41" xfId="1" applyFont="1" applyFill="1" applyBorder="1" applyAlignment="1">
      <alignment horizontal="center" vertical="center" wrapText="1"/>
    </xf>
    <xf numFmtId="0" fontId="8" fillId="0" borderId="41" xfId="1" applyFont="1" applyBorder="1" applyAlignment="1">
      <alignment horizontal="center" vertical="center" wrapText="1"/>
    </xf>
    <xf numFmtId="0" fontId="12" fillId="0" borderId="41" xfId="1" applyFont="1" applyBorder="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left" vertical="center"/>
    </xf>
    <xf numFmtId="0" fontId="9" fillId="0" borderId="0" xfId="0" applyFont="1" applyAlignment="1">
      <alignment horizontal="left" vertical="center"/>
    </xf>
    <xf numFmtId="0" fontId="14" fillId="0" borderId="0" xfId="1" applyFont="1" applyAlignment="1">
      <alignment horizontal="left"/>
    </xf>
    <xf numFmtId="17" fontId="8" fillId="0" borderId="1" xfId="1" applyNumberFormat="1" applyFont="1" applyBorder="1" applyAlignment="1">
      <alignment horizontal="center"/>
    </xf>
    <xf numFmtId="0" fontId="8" fillId="0" borderId="2" xfId="1" applyFont="1" applyBorder="1" applyAlignment="1">
      <alignment horizontal="center"/>
    </xf>
    <xf numFmtId="0" fontId="8" fillId="0" borderId="3" xfId="1" applyFont="1" applyBorder="1" applyAlignment="1">
      <alignment horizontal="center"/>
    </xf>
    <xf numFmtId="0" fontId="8" fillId="0" borderId="0" xfId="1" applyFont="1" applyBorder="1" applyAlignment="1">
      <alignment horizontal="center" vertical="center"/>
    </xf>
    <xf numFmtId="0" fontId="8" fillId="0" borderId="11" xfId="1" applyFont="1" applyBorder="1" applyAlignment="1">
      <alignment horizontal="center" vertical="center"/>
    </xf>
    <xf numFmtId="0" fontId="8" fillId="0" borderId="0" xfId="0" applyFont="1" applyAlignment="1">
      <alignment horizontal="center"/>
    </xf>
    <xf numFmtId="0" fontId="15" fillId="0" borderId="69" xfId="1" applyFont="1" applyBorder="1" applyAlignment="1">
      <alignment horizontal="center" vertical="center" wrapText="1"/>
    </xf>
    <xf numFmtId="0" fontId="8" fillId="0" borderId="69" xfId="1" applyFont="1" applyBorder="1" applyAlignment="1">
      <alignment horizontal="center" vertical="center"/>
    </xf>
    <xf numFmtId="0" fontId="8" fillId="0" borderId="0" xfId="1" applyFont="1" applyAlignment="1">
      <alignment horizontal="left" wrapText="1"/>
    </xf>
    <xf numFmtId="0" fontId="8" fillId="0" borderId="1"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10" xfId="1" applyFont="1" applyBorder="1" applyAlignment="1">
      <alignment horizontal="center" vertical="center"/>
    </xf>
    <xf numFmtId="0" fontId="12" fillId="0" borderId="69" xfId="1" applyFont="1" applyBorder="1" applyAlignment="1">
      <alignment horizontal="center" vertical="center" wrapText="1"/>
    </xf>
    <xf numFmtId="0" fontId="8" fillId="0" borderId="69" xfId="1" applyFont="1" applyBorder="1" applyAlignment="1">
      <alignment horizontal="center" vertical="center" wrapText="1"/>
    </xf>
    <xf numFmtId="0" fontId="14" fillId="0" borderId="0" xfId="1" applyFont="1" applyBorder="1" applyAlignment="1">
      <alignment horizontal="left" vertical="center" wrapText="1"/>
    </xf>
    <xf numFmtId="169" fontId="8" fillId="0" borderId="13" xfId="1" applyNumberFormat="1" applyFont="1" applyBorder="1" applyAlignment="1">
      <alignment horizontal="center" vertical="center"/>
    </xf>
    <xf numFmtId="0" fontId="8" fillId="0" borderId="32" xfId="1" applyFont="1" applyBorder="1" applyAlignment="1">
      <alignment horizontal="center" vertical="center"/>
    </xf>
    <xf numFmtId="0" fontId="8" fillId="8" borderId="0" xfId="1" applyFont="1" applyFill="1" applyAlignment="1">
      <alignment horizontal="center" vertical="center"/>
    </xf>
    <xf numFmtId="0" fontId="8" fillId="0" borderId="0" xfId="1" applyFont="1" applyAlignment="1">
      <alignment horizontal="center" wrapText="1"/>
    </xf>
    <xf numFmtId="0" fontId="9" fillId="0" borderId="15" xfId="0" applyFont="1" applyBorder="1" applyAlignment="1">
      <alignment horizontal="center" wrapText="1"/>
    </xf>
    <xf numFmtId="0" fontId="9" fillId="0" borderId="0" xfId="0" applyFont="1" applyAlignment="1">
      <alignment horizontal="left" wrapText="1"/>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3" fontId="8" fillId="0" borderId="0" xfId="1" applyNumberFormat="1" applyFont="1" applyAlignment="1">
      <alignment horizontal="center" vertical="center"/>
    </xf>
    <xf numFmtId="170" fontId="8" fillId="0" borderId="0" xfId="10" applyFont="1" applyFill="1" applyAlignment="1" applyProtection="1">
      <alignment horizontal="center" vertical="center" wrapText="1"/>
    </xf>
    <xf numFmtId="170" fontId="8" fillId="0" borderId="0" xfId="10" applyFont="1" applyFill="1" applyAlignment="1" applyProtection="1">
      <alignment horizontal="center" vertical="center"/>
    </xf>
    <xf numFmtId="9" fontId="15" fillId="0" borderId="0" xfId="15" applyFont="1" applyAlignment="1">
      <alignment vertical="top" wrapText="1"/>
    </xf>
    <xf numFmtId="0" fontId="11" fillId="0" borderId="0" xfId="0" applyFont="1" applyBorder="1" applyAlignment="1">
      <alignment horizontal="center"/>
    </xf>
    <xf numFmtId="0" fontId="11" fillId="0" borderId="11" xfId="0" applyFont="1" applyBorder="1" applyAlignment="1">
      <alignment horizontal="center"/>
    </xf>
    <xf numFmtId="0" fontId="11" fillId="0" borderId="0" xfId="0" applyFont="1" applyAlignment="1">
      <alignment horizontal="center"/>
    </xf>
  </cellXfs>
  <cellStyles count="17">
    <cellStyle name="Excel Built-in Normal" xfId="10"/>
    <cellStyle name="Milliers 2" xfId="6"/>
    <cellStyle name="Milliers 3" xfId="16"/>
    <cellStyle name="Normal" xfId="0" builtinId="0"/>
    <cellStyle name="Normal 11" xfId="14"/>
    <cellStyle name="Normal 2" xfId="1"/>
    <cellStyle name="Normal 2 2" xfId="4"/>
    <cellStyle name="Normal 2 3" xfId="12"/>
    <cellStyle name="Normal 3" xfId="11"/>
    <cellStyle name="Normal 4" xfId="7"/>
    <cellStyle name="Normal 6" xfId="13"/>
    <cellStyle name="Pourcentage" xfId="3" builtinId="5"/>
    <cellStyle name="Pourcentage 2" xfId="2"/>
    <cellStyle name="Pourcentage 2 2" xfId="5"/>
    <cellStyle name="Pourcentage 2 3" xfId="9"/>
    <cellStyle name="Pourcentage 3" xfId="15"/>
    <cellStyle name="Texte explicatif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E20" sqref="E20"/>
    </sheetView>
  </sheetViews>
  <sheetFormatPr baseColWidth="10" defaultColWidth="9.140625" defaultRowHeight="11.25" x14ac:dyDescent="0.2"/>
  <cols>
    <col min="1" max="1" width="31.42578125" style="20" customWidth="1"/>
    <col min="2" max="2" width="16.5703125" style="20" customWidth="1"/>
    <col min="3" max="5" width="9.140625" style="20"/>
    <col min="6" max="6" width="21.140625" style="20" customWidth="1"/>
    <col min="7" max="16384" width="9.140625" style="20"/>
  </cols>
  <sheetData>
    <row r="1" spans="1:13" x14ac:dyDescent="0.2">
      <c r="A1" s="19" t="s">
        <v>772</v>
      </c>
      <c r="B1" s="19"/>
    </row>
    <row r="2" spans="1:13" x14ac:dyDescent="0.2">
      <c r="A2" s="19"/>
      <c r="B2" s="19"/>
    </row>
    <row r="3" spans="1:13" x14ac:dyDescent="0.2">
      <c r="B3" s="691" t="s">
        <v>902</v>
      </c>
      <c r="C3" s="691"/>
      <c r="D3" s="691"/>
      <c r="E3" s="691"/>
      <c r="F3" s="691" t="s">
        <v>651</v>
      </c>
      <c r="G3" s="691"/>
      <c r="H3" s="691"/>
      <c r="I3" s="691"/>
      <c r="J3" s="19" t="s">
        <v>652</v>
      </c>
      <c r="K3" s="19" t="s">
        <v>653</v>
      </c>
      <c r="L3" s="19" t="s">
        <v>654</v>
      </c>
      <c r="M3" s="19" t="s">
        <v>655</v>
      </c>
    </row>
    <row r="4" spans="1:13" x14ac:dyDescent="0.2">
      <c r="B4" s="19" t="s">
        <v>4</v>
      </c>
      <c r="C4" s="19" t="s">
        <v>5</v>
      </c>
      <c r="D4" s="19" t="s">
        <v>6</v>
      </c>
      <c r="E4" s="19" t="s">
        <v>7</v>
      </c>
      <c r="F4" s="19" t="s">
        <v>4</v>
      </c>
      <c r="G4" s="19" t="s">
        <v>5</v>
      </c>
      <c r="H4" s="19" t="s">
        <v>6</v>
      </c>
      <c r="I4" s="19" t="s">
        <v>7</v>
      </c>
      <c r="J4" s="19" t="s">
        <v>7</v>
      </c>
      <c r="K4" s="19" t="s">
        <v>7</v>
      </c>
      <c r="L4" s="19" t="s">
        <v>7</v>
      </c>
      <c r="M4" s="19" t="s">
        <v>7</v>
      </c>
    </row>
    <row r="5" spans="1:13" x14ac:dyDescent="0.2">
      <c r="A5" s="19" t="s">
        <v>773</v>
      </c>
    </row>
    <row r="6" spans="1:13" x14ac:dyDescent="0.2">
      <c r="A6" s="20" t="s">
        <v>774</v>
      </c>
      <c r="B6" s="20">
        <v>1</v>
      </c>
      <c r="C6" s="20">
        <v>3</v>
      </c>
      <c r="D6" s="20">
        <v>4</v>
      </c>
      <c r="E6" s="298">
        <f>B6/(B6+C6)</f>
        <v>0.25</v>
      </c>
      <c r="F6" s="20">
        <v>1</v>
      </c>
      <c r="G6" s="20">
        <v>3</v>
      </c>
      <c r="H6" s="20">
        <f>F6+G6</f>
        <v>4</v>
      </c>
      <c r="I6" s="298">
        <f>F6/(F6+G6)</f>
        <v>0.25</v>
      </c>
      <c r="J6" s="298">
        <v>0.25</v>
      </c>
      <c r="K6" s="298">
        <v>0.25</v>
      </c>
      <c r="L6" s="298">
        <v>0.25</v>
      </c>
      <c r="M6" s="298">
        <v>0.25</v>
      </c>
    </row>
    <row r="7" spans="1:13" x14ac:dyDescent="0.2">
      <c r="A7" s="20" t="s">
        <v>775</v>
      </c>
      <c r="B7" s="20">
        <v>2</v>
      </c>
      <c r="C7" s="20">
        <v>3</v>
      </c>
      <c r="D7" s="20">
        <v>5</v>
      </c>
      <c r="E7" s="298">
        <f>B7/(B7+C7)</f>
        <v>0.4</v>
      </c>
      <c r="F7" s="20">
        <v>3</v>
      </c>
      <c r="G7" s="20">
        <v>4</v>
      </c>
      <c r="H7" s="20">
        <f>F7+G7</f>
        <v>7</v>
      </c>
      <c r="I7" s="298">
        <f>F7/(F7+G7)</f>
        <v>0.42857142857142855</v>
      </c>
      <c r="J7" s="298">
        <v>0.42857142857142855</v>
      </c>
      <c r="K7" s="298">
        <v>0.56999999999999995</v>
      </c>
      <c r="L7" s="298">
        <v>0.67</v>
      </c>
      <c r="M7" s="298">
        <v>0.28999999999999998</v>
      </c>
    </row>
    <row r="8" spans="1:13" x14ac:dyDescent="0.2">
      <c r="A8" s="19" t="s">
        <v>6</v>
      </c>
      <c r="B8" s="19">
        <v>3</v>
      </c>
      <c r="C8" s="19">
        <v>6</v>
      </c>
      <c r="D8" s="19">
        <v>9</v>
      </c>
      <c r="E8" s="230">
        <f>B8/(B8+C8)</f>
        <v>0.33333333333333331</v>
      </c>
      <c r="F8" s="19">
        <f>F6+F7</f>
        <v>4</v>
      </c>
      <c r="G8" s="19">
        <f>G6+G7</f>
        <v>7</v>
      </c>
      <c r="H8" s="19">
        <f>H6+H7</f>
        <v>11</v>
      </c>
      <c r="I8" s="230">
        <f>F8/(F8+G8)</f>
        <v>0.36363636363636365</v>
      </c>
      <c r="J8" s="230">
        <v>0.36363636363636365</v>
      </c>
      <c r="K8" s="230">
        <v>0.45</v>
      </c>
      <c r="L8" s="230">
        <v>0.5</v>
      </c>
      <c r="M8" s="230">
        <v>0.27</v>
      </c>
    </row>
    <row r="9" spans="1:13" x14ac:dyDescent="0.2">
      <c r="A9" s="19" t="s">
        <v>776</v>
      </c>
      <c r="E9" s="230"/>
      <c r="I9" s="230"/>
      <c r="J9" s="298"/>
      <c r="K9" s="298"/>
      <c r="L9" s="298"/>
      <c r="M9" s="298"/>
    </row>
    <row r="10" spans="1:13" x14ac:dyDescent="0.2">
      <c r="A10" s="20" t="s">
        <v>777</v>
      </c>
      <c r="B10" s="20">
        <v>4</v>
      </c>
      <c r="C10" s="20">
        <v>6</v>
      </c>
      <c r="D10" s="20">
        <v>10</v>
      </c>
      <c r="E10" s="298">
        <f>B10/(B10+C10)</f>
        <v>0.4</v>
      </c>
      <c r="F10" s="20">
        <v>4</v>
      </c>
      <c r="G10" s="20">
        <v>4</v>
      </c>
      <c r="H10" s="20">
        <f>F10+G10</f>
        <v>8</v>
      </c>
      <c r="I10" s="298">
        <f>F10/(F10+G10)</f>
        <v>0.5</v>
      </c>
      <c r="J10" s="298">
        <v>0.5</v>
      </c>
      <c r="K10" s="298">
        <v>0.44</v>
      </c>
      <c r="L10" s="298">
        <v>0.66</v>
      </c>
      <c r="M10" s="298">
        <v>0.67</v>
      </c>
    </row>
    <row r="11" spans="1:13" x14ac:dyDescent="0.2">
      <c r="A11" s="20" t="s">
        <v>778</v>
      </c>
      <c r="B11" s="20">
        <v>7</v>
      </c>
      <c r="C11" s="20">
        <v>14</v>
      </c>
      <c r="D11" s="20">
        <v>21</v>
      </c>
      <c r="E11" s="298">
        <f>B11/(B11+C11)</f>
        <v>0.33333333333333331</v>
      </c>
      <c r="F11" s="20">
        <v>5</v>
      </c>
      <c r="G11" s="20">
        <v>16</v>
      </c>
      <c r="H11" s="20">
        <f>F11+G11</f>
        <v>21</v>
      </c>
      <c r="I11" s="298">
        <f>F11/(F11+G11)</f>
        <v>0.23809523809523808</v>
      </c>
      <c r="J11" s="298">
        <v>0.23809523809523808</v>
      </c>
      <c r="K11" s="298">
        <v>0.27</v>
      </c>
      <c r="L11" s="298">
        <v>0.3</v>
      </c>
      <c r="M11" s="298">
        <v>0.45</v>
      </c>
    </row>
    <row r="12" spans="1:13" x14ac:dyDescent="0.2">
      <c r="A12" s="20" t="s">
        <v>779</v>
      </c>
      <c r="E12" s="298"/>
      <c r="F12" s="20">
        <v>6</v>
      </c>
      <c r="G12" s="20">
        <v>12</v>
      </c>
      <c r="H12" s="20">
        <f>F12+G12</f>
        <v>18</v>
      </c>
      <c r="I12" s="298">
        <f>F12/(F12+G12)</f>
        <v>0.33333333333333331</v>
      </c>
      <c r="J12" s="298"/>
      <c r="K12" s="298"/>
      <c r="L12" s="298"/>
      <c r="M12" s="298"/>
    </row>
    <row r="13" spans="1:13" x14ac:dyDescent="0.2">
      <c r="A13" s="20" t="s">
        <v>780</v>
      </c>
      <c r="E13" s="298"/>
      <c r="F13" s="20">
        <v>45</v>
      </c>
      <c r="G13" s="20">
        <v>34</v>
      </c>
      <c r="H13" s="20">
        <f>F13+G13</f>
        <v>79</v>
      </c>
      <c r="I13" s="298">
        <f>F13/(F13+G13)</f>
        <v>0.569620253164557</v>
      </c>
      <c r="J13" s="298"/>
      <c r="K13" s="298"/>
      <c r="L13" s="298"/>
      <c r="M13" s="298"/>
    </row>
    <row r="14" spans="1:13" x14ac:dyDescent="0.2">
      <c r="A14" s="19" t="s">
        <v>6</v>
      </c>
      <c r="B14" s="19">
        <v>11</v>
      </c>
      <c r="C14" s="19">
        <v>20</v>
      </c>
      <c r="D14" s="19">
        <v>31</v>
      </c>
      <c r="E14" s="501" t="s">
        <v>781</v>
      </c>
      <c r="F14" s="19">
        <f>SUM(F10:F13)</f>
        <v>60</v>
      </c>
      <c r="G14" s="19">
        <f>SUM(G10:G13)</f>
        <v>66</v>
      </c>
      <c r="H14" s="19">
        <f>SUM(H10:H12)</f>
        <v>47</v>
      </c>
      <c r="I14" s="501" t="s">
        <v>781</v>
      </c>
      <c r="J14" s="230">
        <v>0.32258064516129031</v>
      </c>
      <c r="K14" s="230">
        <v>0.32</v>
      </c>
      <c r="L14" s="230">
        <v>0.41</v>
      </c>
      <c r="M14" s="230">
        <v>0.52</v>
      </c>
    </row>
    <row r="15" spans="1:13" x14ac:dyDescent="0.2">
      <c r="A15" s="19" t="s">
        <v>782</v>
      </c>
      <c r="E15" s="230"/>
      <c r="I15" s="230"/>
      <c r="J15" s="298"/>
      <c r="K15" s="298"/>
      <c r="L15" s="298"/>
      <c r="M15" s="298"/>
    </row>
    <row r="16" spans="1:13" x14ac:dyDescent="0.2">
      <c r="A16" s="20" t="s">
        <v>783</v>
      </c>
      <c r="B16" s="20">
        <v>6</v>
      </c>
      <c r="C16" s="20">
        <v>11</v>
      </c>
      <c r="D16" s="20">
        <v>17</v>
      </c>
      <c r="E16" s="298">
        <f>B16/(B16+C16)</f>
        <v>0.35294117647058826</v>
      </c>
      <c r="F16" s="20">
        <v>5</v>
      </c>
      <c r="G16" s="20">
        <v>13</v>
      </c>
      <c r="H16" s="20">
        <v>18</v>
      </c>
      <c r="I16" s="298">
        <f>F16/(F16+G16)</f>
        <v>0.27777777777777779</v>
      </c>
      <c r="J16" s="298">
        <v>0.23529411764705882</v>
      </c>
      <c r="K16" s="298">
        <v>0.23</v>
      </c>
      <c r="L16" s="298">
        <v>0.39</v>
      </c>
      <c r="M16" s="298">
        <v>0.38</v>
      </c>
    </row>
    <row r="17" spans="1:13" x14ac:dyDescent="0.2">
      <c r="A17" s="20" t="s">
        <v>784</v>
      </c>
      <c r="B17" s="20">
        <v>7</v>
      </c>
      <c r="C17" s="20">
        <v>6</v>
      </c>
      <c r="D17" s="20">
        <v>13</v>
      </c>
      <c r="E17" s="298">
        <f>B17/(B17+C17)</f>
        <v>0.53846153846153844</v>
      </c>
      <c r="F17" s="20">
        <v>7</v>
      </c>
      <c r="G17" s="20">
        <v>6</v>
      </c>
      <c r="H17" s="20">
        <v>13</v>
      </c>
      <c r="I17" s="298">
        <f>F17/(F17+G17)</f>
        <v>0.53846153846153844</v>
      </c>
      <c r="J17" s="298">
        <v>0.36363636363636365</v>
      </c>
      <c r="K17" s="298">
        <v>0.33</v>
      </c>
      <c r="L17" s="298">
        <v>0.5</v>
      </c>
      <c r="M17" s="298">
        <v>0.6</v>
      </c>
    </row>
    <row r="18" spans="1:13" ht="22.5" x14ac:dyDescent="0.2">
      <c r="A18" s="49" t="s">
        <v>785</v>
      </c>
      <c r="B18" s="20">
        <v>4</v>
      </c>
      <c r="C18" s="20">
        <v>9</v>
      </c>
      <c r="D18" s="20">
        <v>13</v>
      </c>
      <c r="E18" s="298">
        <f>B18/(B18+C18)</f>
        <v>0.30769230769230771</v>
      </c>
      <c r="F18" s="20">
        <v>7</v>
      </c>
      <c r="G18" s="20">
        <v>10</v>
      </c>
      <c r="H18" s="20">
        <v>17</v>
      </c>
      <c r="I18" s="298">
        <f>F18/(F18+G18)</f>
        <v>0.41176470588235292</v>
      </c>
      <c r="J18" s="298">
        <v>0.45454545454545453</v>
      </c>
      <c r="K18" s="298">
        <v>0.5</v>
      </c>
      <c r="L18" s="502"/>
      <c r="M18" s="298"/>
    </row>
    <row r="19" spans="1:13" x14ac:dyDescent="0.2">
      <c r="A19" s="20" t="s">
        <v>786</v>
      </c>
      <c r="B19" s="20">
        <v>10</v>
      </c>
      <c r="C19" s="20">
        <v>7</v>
      </c>
      <c r="D19" s="20">
        <v>17</v>
      </c>
      <c r="E19" s="298">
        <f>B19/(B19+C19)</f>
        <v>0.58823529411764708</v>
      </c>
      <c r="F19" s="20">
        <v>10</v>
      </c>
      <c r="G19" s="20">
        <v>7</v>
      </c>
      <c r="H19" s="20">
        <v>17</v>
      </c>
      <c r="I19" s="298">
        <f>F19/(F19+G19)</f>
        <v>0.58823529411764708</v>
      </c>
      <c r="J19" s="298">
        <v>0.5</v>
      </c>
      <c r="K19" s="298">
        <v>0.6</v>
      </c>
      <c r="L19" s="298">
        <v>0.56999999999999995</v>
      </c>
      <c r="M19" s="298">
        <v>0.62</v>
      </c>
    </row>
    <row r="20" spans="1:13" x14ac:dyDescent="0.2">
      <c r="A20" s="19" t="s">
        <v>6</v>
      </c>
      <c r="B20" s="503">
        <f>SUM(B16:B19)</f>
        <v>27</v>
      </c>
      <c r="C20" s="503">
        <f>SUM(C16:C19)</f>
        <v>33</v>
      </c>
      <c r="D20" s="503">
        <f>SUM(D16:D19)</f>
        <v>60</v>
      </c>
      <c r="E20" s="504">
        <f>B20/(B20+C20)</f>
        <v>0.45</v>
      </c>
      <c r="F20" s="19">
        <f>SUM(F16:F19)</f>
        <v>29</v>
      </c>
      <c r="G20" s="19">
        <f>SUM(G16:G19)</f>
        <v>36</v>
      </c>
      <c r="H20" s="19">
        <f>SUM(F20:G20)</f>
        <v>65</v>
      </c>
      <c r="I20" s="230">
        <f>F20/(F20+G20)</f>
        <v>0.44615384615384618</v>
      </c>
      <c r="J20" s="230">
        <v>0.37254901960784315</v>
      </c>
      <c r="K20" s="230">
        <v>0.42</v>
      </c>
      <c r="L20" s="230">
        <v>0.48</v>
      </c>
      <c r="M20" s="230">
        <v>0.54</v>
      </c>
    </row>
    <row r="21" spans="1:13" x14ac:dyDescent="0.2">
      <c r="A21" s="20" t="s">
        <v>787</v>
      </c>
      <c r="F21" s="298"/>
      <c r="G21" s="298"/>
      <c r="H21" s="298"/>
      <c r="I21" s="298"/>
    </row>
    <row r="22" spans="1:13" x14ac:dyDescent="0.2">
      <c r="A22" s="20" t="s">
        <v>788</v>
      </c>
      <c r="F22" s="298"/>
      <c r="G22" s="298"/>
      <c r="H22" s="298"/>
      <c r="I22" s="298"/>
    </row>
    <row r="23" spans="1:13" x14ac:dyDescent="0.2">
      <c r="A23" s="20" t="s">
        <v>789</v>
      </c>
      <c r="F23" s="298"/>
      <c r="G23" s="298"/>
      <c r="H23" s="298"/>
      <c r="I23" s="298"/>
    </row>
    <row r="24" spans="1:13" x14ac:dyDescent="0.2">
      <c r="A24" s="20" t="s">
        <v>790</v>
      </c>
      <c r="F24" s="298"/>
      <c r="G24" s="298"/>
      <c r="H24" s="298"/>
      <c r="I24" s="298"/>
    </row>
    <row r="25" spans="1:13" x14ac:dyDescent="0.2">
      <c r="F25" s="298"/>
      <c r="G25" s="298"/>
      <c r="H25" s="298"/>
      <c r="I25" s="298"/>
    </row>
    <row r="26" spans="1:13" x14ac:dyDescent="0.2">
      <c r="A26" s="20" t="s">
        <v>903</v>
      </c>
      <c r="F26" s="298"/>
      <c r="G26" s="298"/>
      <c r="H26" s="298"/>
      <c r="I26" s="298"/>
    </row>
    <row r="28" spans="1:13" x14ac:dyDescent="0.2">
      <c r="A28" s="195"/>
      <c r="B28" s="195"/>
    </row>
  </sheetData>
  <mergeCells count="2">
    <mergeCell ref="B3:E3"/>
    <mergeCell ref="F3:I3"/>
  </mergeCells>
  <pageMargins left="0.78749999999999998" right="0.78749999999999998" top="1.0249999999999999" bottom="1.0249999999999999" header="0.78749999999999998" footer="0.78749999999999998"/>
  <pageSetup paperSize="9" firstPageNumber="0" orientation="portrait" r:id="rId1"/>
  <headerFooter>
    <oddHeader>&amp;C&amp;"Arial,Normal"&amp;10&amp;A</oddHeader>
    <oddFooter>&amp;C&amp;"Arial,Normal"&amp;10Page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32"/>
  <sheetViews>
    <sheetView zoomScaleNormal="100" workbookViewId="0">
      <selection activeCell="A17" sqref="A17:XFD17"/>
    </sheetView>
  </sheetViews>
  <sheetFormatPr baseColWidth="10" defaultColWidth="9.140625" defaultRowHeight="11.25" x14ac:dyDescent="0.2"/>
  <cols>
    <col min="1" max="1" width="44" style="20" customWidth="1"/>
    <col min="2" max="3" width="9.140625" style="20"/>
    <col min="4" max="4" width="10.5703125" style="20" bestFit="1" customWidth="1"/>
    <col min="5" max="6" width="30.42578125" style="20" customWidth="1"/>
    <col min="7" max="7" width="41.28515625" style="20" customWidth="1"/>
    <col min="8" max="12" width="21.5703125" style="20" customWidth="1"/>
    <col min="13" max="16384" width="9.140625" style="20"/>
  </cols>
  <sheetData>
    <row r="1" spans="1:11" x14ac:dyDescent="0.2">
      <c r="A1" s="19" t="s">
        <v>632</v>
      </c>
    </row>
    <row r="2" spans="1:11" x14ac:dyDescent="0.2">
      <c r="A2" s="19"/>
    </row>
    <row r="3" spans="1:11" x14ac:dyDescent="0.2">
      <c r="B3" s="714" t="s">
        <v>913</v>
      </c>
      <c r="C3" s="715"/>
      <c r="D3" s="715"/>
      <c r="E3" s="716"/>
      <c r="F3" s="99" t="s">
        <v>914</v>
      </c>
      <c r="G3" s="99" t="s">
        <v>915</v>
      </c>
      <c r="H3" s="99" t="s">
        <v>653</v>
      </c>
      <c r="I3" s="99" t="s">
        <v>654</v>
      </c>
      <c r="J3" s="99" t="s">
        <v>655</v>
      </c>
      <c r="K3" s="99" t="s">
        <v>656</v>
      </c>
    </row>
    <row r="4" spans="1:11" x14ac:dyDescent="0.2">
      <c r="B4" s="492" t="s">
        <v>4</v>
      </c>
      <c r="C4" s="493" t="s">
        <v>5</v>
      </c>
      <c r="D4" s="493" t="s">
        <v>6</v>
      </c>
      <c r="E4" s="102" t="s">
        <v>7</v>
      </c>
      <c r="F4" s="103" t="s">
        <v>7</v>
      </c>
      <c r="G4" s="103" t="s">
        <v>7</v>
      </c>
      <c r="H4" s="103" t="s">
        <v>7</v>
      </c>
      <c r="I4" s="103" t="s">
        <v>7</v>
      </c>
      <c r="J4" s="103" t="s">
        <v>7</v>
      </c>
      <c r="K4" s="103" t="s">
        <v>7</v>
      </c>
    </row>
    <row r="5" spans="1:11" x14ac:dyDescent="0.2">
      <c r="A5" s="104" t="s">
        <v>45</v>
      </c>
      <c r="B5" s="340" t="s">
        <v>46</v>
      </c>
      <c r="C5" s="509">
        <v>8</v>
      </c>
      <c r="D5" s="509">
        <v>13</v>
      </c>
      <c r="E5" s="510">
        <f>5/13</f>
        <v>0.38461538461538464</v>
      </c>
      <c r="F5" s="77">
        <v>0.30769230769230771</v>
      </c>
      <c r="G5" s="78">
        <v>0.31</v>
      </c>
      <c r="H5" s="79">
        <v>0.2</v>
      </c>
      <c r="I5" s="79">
        <v>0.2</v>
      </c>
      <c r="J5" s="79">
        <v>0</v>
      </c>
      <c r="K5" s="79">
        <v>0</v>
      </c>
    </row>
    <row r="6" spans="1:11" x14ac:dyDescent="0.2">
      <c r="A6" s="32" t="s">
        <v>47</v>
      </c>
      <c r="B6" s="340"/>
      <c r="C6" s="341"/>
      <c r="D6" s="509"/>
      <c r="E6" s="84"/>
      <c r="F6" s="85">
        <v>0.51351351351351349</v>
      </c>
      <c r="G6" s="86">
        <v>0.51351351351351349</v>
      </c>
      <c r="H6" s="36">
        <v>0.2</v>
      </c>
      <c r="I6" s="36">
        <v>0.09</v>
      </c>
      <c r="J6" s="36">
        <v>0.08</v>
      </c>
      <c r="K6" s="36">
        <v>0.12</v>
      </c>
    </row>
    <row r="7" spans="1:11" x14ac:dyDescent="0.2">
      <c r="A7" s="32" t="s">
        <v>48</v>
      </c>
      <c r="B7" s="340" t="s">
        <v>49</v>
      </c>
      <c r="C7" s="509">
        <v>9</v>
      </c>
      <c r="D7" s="509">
        <v>13</v>
      </c>
      <c r="E7" s="84">
        <f>4/13</f>
        <v>0.30769230769230771</v>
      </c>
      <c r="F7" s="85">
        <v>0.33333333333333331</v>
      </c>
      <c r="G7" s="86">
        <v>0.38461538461538464</v>
      </c>
      <c r="H7" s="36"/>
      <c r="I7" s="36"/>
      <c r="J7" s="36"/>
      <c r="K7" s="36"/>
    </row>
    <row r="8" spans="1:11" x14ac:dyDescent="0.2">
      <c r="A8" s="32" t="s">
        <v>50</v>
      </c>
      <c r="B8" s="340" t="s">
        <v>51</v>
      </c>
      <c r="C8" s="509">
        <v>2</v>
      </c>
      <c r="D8" s="509">
        <v>13</v>
      </c>
      <c r="E8" s="84">
        <f>11/13</f>
        <v>0.84615384615384615</v>
      </c>
      <c r="F8" s="85">
        <v>0.84615384615384615</v>
      </c>
      <c r="G8" s="86">
        <v>0.83</v>
      </c>
      <c r="H8" s="36"/>
      <c r="I8" s="36"/>
      <c r="J8" s="36"/>
      <c r="K8" s="36"/>
    </row>
    <row r="9" spans="1:11" x14ac:dyDescent="0.2">
      <c r="A9" s="32" t="s">
        <v>52</v>
      </c>
      <c r="B9" s="340" t="s">
        <v>53</v>
      </c>
      <c r="C9" s="509">
        <v>7</v>
      </c>
      <c r="D9" s="509">
        <v>11</v>
      </c>
      <c r="E9" s="84">
        <f>4/11</f>
        <v>0.36363636363636365</v>
      </c>
      <c r="F9" s="85">
        <v>0.33333333333333331</v>
      </c>
      <c r="G9" s="86">
        <v>0.33</v>
      </c>
      <c r="H9" s="36"/>
      <c r="I9" s="36"/>
      <c r="J9" s="36"/>
      <c r="K9" s="36"/>
    </row>
    <row r="10" spans="1:11" x14ac:dyDescent="0.2">
      <c r="A10" s="107" t="s">
        <v>54</v>
      </c>
      <c r="B10" s="340" t="s">
        <v>55</v>
      </c>
      <c r="C10" s="509">
        <v>17</v>
      </c>
      <c r="D10" s="509">
        <v>24</v>
      </c>
      <c r="E10" s="84">
        <f>7/24</f>
        <v>0.29166666666666669</v>
      </c>
      <c r="F10" s="85">
        <v>0.20833333333333334</v>
      </c>
      <c r="G10" s="86">
        <v>0.16666666666666666</v>
      </c>
      <c r="H10" s="36">
        <v>0.17</v>
      </c>
      <c r="I10" s="36">
        <v>0.13</v>
      </c>
      <c r="J10" s="36">
        <v>0.12</v>
      </c>
      <c r="K10" s="36">
        <v>0.08</v>
      </c>
    </row>
    <row r="11" spans="1:11" x14ac:dyDescent="0.2">
      <c r="A11" s="107" t="s">
        <v>56</v>
      </c>
      <c r="B11" s="340">
        <v>3</v>
      </c>
      <c r="C11" s="509">
        <v>21</v>
      </c>
      <c r="D11" s="509">
        <v>24</v>
      </c>
      <c r="E11" s="84">
        <f>B11/24</f>
        <v>0.125</v>
      </c>
      <c r="F11" s="85">
        <v>4.1666666666666664E-2</v>
      </c>
      <c r="G11" s="86">
        <v>8.3333333333333329E-2</v>
      </c>
      <c r="H11" s="36">
        <v>4.4999999999999998E-2</v>
      </c>
      <c r="I11" s="36">
        <v>0</v>
      </c>
      <c r="J11" s="36">
        <v>0</v>
      </c>
      <c r="K11" s="36">
        <v>0</v>
      </c>
    </row>
    <row r="12" spans="1:11" x14ac:dyDescent="0.2">
      <c r="A12" s="511" t="s">
        <v>57</v>
      </c>
      <c r="B12" s="340" t="s">
        <v>58</v>
      </c>
      <c r="C12" s="509">
        <v>5</v>
      </c>
      <c r="D12" s="509">
        <v>11</v>
      </c>
      <c r="E12" s="84">
        <f>6/11</f>
        <v>0.54545454545454541</v>
      </c>
      <c r="F12" s="85">
        <v>0.54545454545454541</v>
      </c>
      <c r="G12" s="86">
        <v>0.57999999999999996</v>
      </c>
      <c r="H12" s="36"/>
      <c r="I12" s="36"/>
      <c r="J12" s="36"/>
      <c r="K12" s="36"/>
    </row>
    <row r="13" spans="1:11" x14ac:dyDescent="0.2">
      <c r="A13" s="511" t="s">
        <v>59</v>
      </c>
      <c r="B13" s="340" t="s">
        <v>58</v>
      </c>
      <c r="C13" s="509">
        <v>6</v>
      </c>
      <c r="D13" s="509">
        <v>12</v>
      </c>
      <c r="E13" s="84">
        <f>6/12</f>
        <v>0.5</v>
      </c>
      <c r="F13" s="85">
        <v>0.5</v>
      </c>
      <c r="G13" s="86" t="s">
        <v>60</v>
      </c>
      <c r="H13" s="36"/>
      <c r="I13" s="36"/>
      <c r="J13" s="36"/>
      <c r="K13" s="36"/>
    </row>
    <row r="14" spans="1:11" x14ac:dyDescent="0.2">
      <c r="A14" s="512" t="s">
        <v>61</v>
      </c>
      <c r="B14" s="513" t="s">
        <v>62</v>
      </c>
      <c r="C14" s="514">
        <v>2</v>
      </c>
      <c r="D14" s="514">
        <v>16</v>
      </c>
      <c r="E14" s="92">
        <f>14/16</f>
        <v>0.875</v>
      </c>
      <c r="F14" s="93">
        <v>0.82352941176470584</v>
      </c>
      <c r="G14" s="94" t="s">
        <v>60</v>
      </c>
      <c r="H14" s="95"/>
      <c r="I14" s="95"/>
      <c r="J14" s="95"/>
      <c r="K14" s="95"/>
    </row>
    <row r="15" spans="1:11" ht="41.1" customHeight="1" x14ac:dyDescent="0.2">
      <c r="A15" s="717" t="s">
        <v>63</v>
      </c>
      <c r="B15" s="717"/>
      <c r="C15" s="717"/>
      <c r="D15" s="717"/>
      <c r="E15" s="717"/>
      <c r="F15" s="717"/>
      <c r="G15" s="717"/>
      <c r="H15" s="717"/>
      <c r="I15" s="717"/>
      <c r="J15" s="717"/>
      <c r="K15" s="717"/>
    </row>
    <row r="16" spans="1:11" ht="24" customHeight="1" x14ac:dyDescent="0.2">
      <c r="A16" s="717" t="s">
        <v>64</v>
      </c>
      <c r="B16" s="717"/>
      <c r="C16" s="717"/>
      <c r="D16" s="717"/>
      <c r="E16" s="717"/>
      <c r="F16" s="717"/>
      <c r="G16" s="717"/>
      <c r="H16" s="717"/>
      <c r="I16" s="717"/>
      <c r="J16" s="717"/>
      <c r="K16" s="717"/>
    </row>
    <row r="17" spans="1:11" ht="10.5" customHeight="1" x14ac:dyDescent="0.2">
      <c r="A17" s="631"/>
      <c r="B17" s="631"/>
      <c r="C17" s="631"/>
      <c r="D17" s="631"/>
      <c r="E17" s="631"/>
      <c r="F17" s="631"/>
      <c r="G17" s="631"/>
      <c r="H17" s="631"/>
      <c r="I17" s="631"/>
      <c r="J17" s="631"/>
      <c r="K17" s="631"/>
    </row>
    <row r="18" spans="1:11" x14ac:dyDescent="0.2">
      <c r="A18" s="20" t="s">
        <v>916</v>
      </c>
    </row>
    <row r="19" spans="1:11" x14ac:dyDescent="0.2">
      <c r="A19" s="68"/>
    </row>
    <row r="23" spans="1:11" x14ac:dyDescent="0.2">
      <c r="E23" s="220"/>
    </row>
    <row r="24" spans="1:11" x14ac:dyDescent="0.2">
      <c r="E24" s="220"/>
    </row>
    <row r="25" spans="1:11" x14ac:dyDescent="0.2">
      <c r="E25" s="220"/>
    </row>
    <row r="26" spans="1:11" x14ac:dyDescent="0.2">
      <c r="E26" s="220"/>
    </row>
    <row r="27" spans="1:11" x14ac:dyDescent="0.2">
      <c r="E27" s="220"/>
    </row>
    <row r="28" spans="1:11" x14ac:dyDescent="0.2">
      <c r="E28" s="220"/>
    </row>
    <row r="29" spans="1:11" x14ac:dyDescent="0.2">
      <c r="E29" s="220"/>
    </row>
    <row r="30" spans="1:11" x14ac:dyDescent="0.2">
      <c r="E30" s="220"/>
    </row>
    <row r="31" spans="1:11" x14ac:dyDescent="0.2">
      <c r="E31" s="220"/>
    </row>
    <row r="32" spans="1:11" x14ac:dyDescent="0.2">
      <c r="E32" s="220"/>
    </row>
  </sheetData>
  <mergeCells count="3">
    <mergeCell ref="B3:E3"/>
    <mergeCell ref="A15:K15"/>
    <mergeCell ref="A16:K16"/>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election activeCell="A10" sqref="A10:XFD10"/>
    </sheetView>
  </sheetViews>
  <sheetFormatPr baseColWidth="10" defaultColWidth="9.140625" defaultRowHeight="11.25" x14ac:dyDescent="0.2"/>
  <cols>
    <col min="1" max="1" width="41.28515625" style="20" customWidth="1"/>
    <col min="2" max="4" width="9.140625" style="20"/>
    <col min="5" max="5" width="24.42578125" style="20" customWidth="1"/>
    <col min="6" max="9" width="20.85546875" style="20" customWidth="1"/>
    <col min="10" max="16384" width="9.140625" style="20"/>
  </cols>
  <sheetData>
    <row r="1" spans="1:9" x14ac:dyDescent="0.2">
      <c r="A1" s="19" t="s">
        <v>633</v>
      </c>
      <c r="B1" s="50"/>
      <c r="C1" s="50"/>
      <c r="D1" s="50"/>
      <c r="E1" s="50"/>
      <c r="F1" s="50"/>
      <c r="G1" s="50"/>
      <c r="H1" s="50"/>
      <c r="I1" s="50"/>
    </row>
    <row r="2" spans="1:9" x14ac:dyDescent="0.2">
      <c r="A2" s="19"/>
      <c r="B2" s="50"/>
      <c r="C2" s="50"/>
      <c r="D2" s="50"/>
      <c r="E2" s="50"/>
      <c r="F2" s="50"/>
      <c r="G2" s="50"/>
      <c r="H2" s="50"/>
      <c r="I2" s="50"/>
    </row>
    <row r="3" spans="1:9" x14ac:dyDescent="0.2">
      <c r="B3" s="714" t="s">
        <v>17</v>
      </c>
      <c r="C3" s="715"/>
      <c r="D3" s="715"/>
      <c r="E3" s="716"/>
      <c r="F3" s="69" t="s">
        <v>651</v>
      </c>
      <c r="G3" s="99" t="s">
        <v>652</v>
      </c>
      <c r="H3" s="99" t="s">
        <v>653</v>
      </c>
      <c r="I3" s="99" t="s">
        <v>654</v>
      </c>
    </row>
    <row r="4" spans="1:9" x14ac:dyDescent="0.2">
      <c r="B4" s="100" t="s">
        <v>4</v>
      </c>
      <c r="C4" s="101" t="s">
        <v>5</v>
      </c>
      <c r="D4" s="101" t="s">
        <v>6</v>
      </c>
      <c r="E4" s="102" t="s">
        <v>7</v>
      </c>
      <c r="F4" s="103" t="s">
        <v>7</v>
      </c>
      <c r="G4" s="54" t="s">
        <v>7</v>
      </c>
      <c r="H4" s="54" t="s">
        <v>7</v>
      </c>
      <c r="I4" s="54" t="s">
        <v>7</v>
      </c>
    </row>
    <row r="5" spans="1:9" x14ac:dyDescent="0.2">
      <c r="A5" s="104" t="s">
        <v>65</v>
      </c>
      <c r="B5" s="32">
        <v>6</v>
      </c>
      <c r="C5" s="30">
        <v>34</v>
      </c>
      <c r="D5" s="30">
        <f>SUM(B5:C5)</f>
        <v>40</v>
      </c>
      <c r="E5" s="105">
        <f>B5/D5</f>
        <v>0.15</v>
      </c>
      <c r="F5" s="106">
        <v>0.11363636363636363</v>
      </c>
      <c r="G5" s="79">
        <v>0.14000000000000001</v>
      </c>
      <c r="H5" s="79">
        <v>7.0000000000000007E-2</v>
      </c>
      <c r="I5" s="79">
        <v>7.0000000000000007E-2</v>
      </c>
    </row>
    <row r="6" spans="1:9" x14ac:dyDescent="0.2">
      <c r="A6" s="107" t="s">
        <v>54</v>
      </c>
      <c r="B6" s="32">
        <v>22</v>
      </c>
      <c r="C6" s="30">
        <v>22</v>
      </c>
      <c r="D6" s="30">
        <f>SUM(B6:C6)</f>
        <v>44</v>
      </c>
      <c r="E6" s="105">
        <f>B6/D6</f>
        <v>0.5</v>
      </c>
      <c r="F6" s="108">
        <v>0.43181818181818182</v>
      </c>
      <c r="G6" s="36">
        <v>0.41</v>
      </c>
      <c r="H6" s="36">
        <v>0.32</v>
      </c>
      <c r="I6" s="36">
        <v>0.34</v>
      </c>
    </row>
    <row r="7" spans="1:9" x14ac:dyDescent="0.2">
      <c r="A7" s="107" t="s">
        <v>66</v>
      </c>
      <c r="B7" s="32">
        <v>5</v>
      </c>
      <c r="C7" s="30">
        <v>37</v>
      </c>
      <c r="D7" s="30">
        <f>SUM(B7:C7)</f>
        <v>42</v>
      </c>
      <c r="E7" s="105">
        <f>B7/D7</f>
        <v>0.11904761904761904</v>
      </c>
      <c r="F7" s="108">
        <v>0.17777777777777778</v>
      </c>
      <c r="G7" s="36">
        <v>0.2</v>
      </c>
      <c r="H7" s="36">
        <v>0.2</v>
      </c>
      <c r="I7" s="36">
        <v>0.23</v>
      </c>
    </row>
    <row r="8" spans="1:9" x14ac:dyDescent="0.2">
      <c r="A8" s="109" t="s">
        <v>67</v>
      </c>
      <c r="B8" s="110">
        <v>2</v>
      </c>
      <c r="C8" s="111">
        <v>39</v>
      </c>
      <c r="D8" s="111">
        <f>SUM(B8:C8)</f>
        <v>41</v>
      </c>
      <c r="E8" s="112">
        <f>B8/D8</f>
        <v>4.878048780487805E-2</v>
      </c>
      <c r="F8" s="67">
        <v>4.5454545454545456E-2</v>
      </c>
      <c r="G8" s="95">
        <v>0.05</v>
      </c>
      <c r="H8" s="95">
        <v>0.05</v>
      </c>
      <c r="I8" s="95">
        <v>0.05</v>
      </c>
    </row>
    <row r="9" spans="1:9" ht="12.75" customHeight="1" x14ac:dyDescent="0.2">
      <c r="A9" s="113" t="s">
        <v>68</v>
      </c>
      <c r="B9" s="114"/>
      <c r="C9" s="114"/>
      <c r="D9" s="114"/>
      <c r="E9" s="114"/>
      <c r="F9" s="114"/>
      <c r="G9" s="114"/>
    </row>
    <row r="10" spans="1:9" ht="12.75" customHeight="1" x14ac:dyDescent="0.2">
      <c r="A10" s="113"/>
      <c r="B10" s="114"/>
      <c r="C10" s="114"/>
      <c r="D10" s="114"/>
      <c r="E10" s="114"/>
      <c r="F10" s="114"/>
      <c r="G10" s="114"/>
    </row>
    <row r="11" spans="1:9" x14ac:dyDescent="0.2">
      <c r="A11" s="20" t="s">
        <v>911</v>
      </c>
    </row>
  </sheetData>
  <mergeCells count="1">
    <mergeCell ref="B3:E3"/>
  </mergeCells>
  <pageMargins left="0.78749999999999998" right="0.78749999999999998" top="1.0249999999999999" bottom="1.0249999999999999" header="0.78749999999999998" footer="0.78749999999999998"/>
  <pageSetup paperSize="9" firstPageNumber="0" orientation="portrait" r:id="rId1"/>
  <headerFooter>
    <oddHeader>&amp;C&amp;"Arial,Normal"&amp;10&amp;A</oddHeader>
    <oddFooter>&amp;C&amp;"Arial,Normal"&amp;10Page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Normal="100" workbookViewId="0">
      <selection activeCell="D22" sqref="D22"/>
    </sheetView>
  </sheetViews>
  <sheetFormatPr baseColWidth="10" defaultColWidth="9.140625" defaultRowHeight="11.25" x14ac:dyDescent="0.2"/>
  <cols>
    <col min="1" max="1" width="21.5703125" style="20" customWidth="1"/>
    <col min="2" max="2" width="24.140625" style="20" customWidth="1"/>
    <col min="3" max="5" width="9.140625" style="20"/>
    <col min="6" max="6" width="10.28515625" style="20" bestFit="1" customWidth="1"/>
    <col min="7" max="10" width="10.140625" style="20" customWidth="1"/>
    <col min="11" max="16384" width="9.140625" style="20"/>
  </cols>
  <sheetData>
    <row r="1" spans="1:11" x14ac:dyDescent="0.2">
      <c r="A1" s="19" t="s">
        <v>873</v>
      </c>
    </row>
    <row r="2" spans="1:11" x14ac:dyDescent="0.2">
      <c r="A2" s="19"/>
    </row>
    <row r="3" spans="1:11" ht="33.75" x14ac:dyDescent="0.2">
      <c r="B3" s="691" t="s">
        <v>360</v>
      </c>
      <c r="C3" s="693" t="s">
        <v>651</v>
      </c>
      <c r="D3" s="693"/>
      <c r="E3" s="693"/>
      <c r="F3" s="693"/>
      <c r="G3" s="121" t="s">
        <v>920</v>
      </c>
      <c r="H3" s="121" t="s">
        <v>653</v>
      </c>
      <c r="I3" s="121" t="s">
        <v>654</v>
      </c>
      <c r="J3" s="121" t="s">
        <v>655</v>
      </c>
      <c r="K3" s="49"/>
    </row>
    <row r="4" spans="1:11" x14ac:dyDescent="0.2">
      <c r="B4" s="691"/>
      <c r="C4" s="19" t="s">
        <v>4</v>
      </c>
      <c r="D4" s="19" t="s">
        <v>5</v>
      </c>
      <c r="E4" s="19" t="s">
        <v>6</v>
      </c>
      <c r="F4" s="19" t="s">
        <v>7</v>
      </c>
      <c r="G4" s="20" t="s">
        <v>7</v>
      </c>
      <c r="H4" s="19" t="s">
        <v>7</v>
      </c>
      <c r="I4" s="19" t="s">
        <v>7</v>
      </c>
      <c r="J4" s="19" t="s">
        <v>7</v>
      </c>
    </row>
    <row r="5" spans="1:11" x14ac:dyDescent="0.2">
      <c r="A5" s="19" t="s">
        <v>796</v>
      </c>
      <c r="F5" s="230"/>
      <c r="H5" s="298"/>
      <c r="I5" s="298"/>
      <c r="J5" s="298"/>
    </row>
    <row r="6" spans="1:11" x14ac:dyDescent="0.2">
      <c r="A6" s="20" t="s">
        <v>797</v>
      </c>
      <c r="B6" s="20">
        <v>20</v>
      </c>
      <c r="C6" s="20">
        <v>50</v>
      </c>
      <c r="D6" s="20">
        <v>58</v>
      </c>
      <c r="E6" s="20">
        <f>SUM(C6+D6)</f>
        <v>108</v>
      </c>
      <c r="F6" s="506">
        <f>(C6*100)/E6</f>
        <v>46.296296296296298</v>
      </c>
      <c r="G6" s="230">
        <v>0.46666666666666701</v>
      </c>
      <c r="H6" s="298">
        <v>0.5</v>
      </c>
      <c r="I6" s="298">
        <v>0.5</v>
      </c>
      <c r="J6" s="298">
        <v>0.43</v>
      </c>
    </row>
    <row r="7" spans="1:11" x14ac:dyDescent="0.2">
      <c r="A7" s="20" t="s">
        <v>798</v>
      </c>
      <c r="B7" s="20">
        <v>19</v>
      </c>
      <c r="C7" s="20">
        <v>19</v>
      </c>
      <c r="D7" s="20">
        <v>18</v>
      </c>
      <c r="E7" s="20">
        <f>SUM(C7+D7)</f>
        <v>37</v>
      </c>
      <c r="F7" s="506">
        <f>(C7*100)/E7</f>
        <v>51.351351351351354</v>
      </c>
      <c r="G7" s="230">
        <v>0.54838709677419395</v>
      </c>
      <c r="H7" s="298">
        <v>0.34</v>
      </c>
      <c r="I7" s="298">
        <v>0.47</v>
      </c>
      <c r="J7" s="298">
        <v>0.52</v>
      </c>
    </row>
    <row r="8" spans="1:11" x14ac:dyDescent="0.2">
      <c r="A8" s="20" t="s">
        <v>722</v>
      </c>
      <c r="B8" s="20">
        <v>34</v>
      </c>
      <c r="C8" s="20">
        <v>83</v>
      </c>
      <c r="D8" s="20">
        <v>74</v>
      </c>
      <c r="E8" s="20">
        <f>SUM(C8+D8)</f>
        <v>157</v>
      </c>
      <c r="F8" s="506">
        <f>(C8*100)/E8</f>
        <v>52.866242038216562</v>
      </c>
      <c r="G8" s="230">
        <v>0.54545454545454497</v>
      </c>
      <c r="H8" s="298">
        <v>0.55000000000000004</v>
      </c>
      <c r="I8" s="298">
        <v>0.49</v>
      </c>
      <c r="J8" s="298">
        <v>0.28999999999999998</v>
      </c>
    </row>
    <row r="9" spans="1:11" x14ac:dyDescent="0.2">
      <c r="A9" s="20" t="s">
        <v>799</v>
      </c>
      <c r="B9" s="20">
        <v>5</v>
      </c>
      <c r="C9" s="20">
        <v>10</v>
      </c>
      <c r="D9" s="20">
        <v>10</v>
      </c>
      <c r="E9" s="20">
        <f>SUM(C9+D9)</f>
        <v>20</v>
      </c>
      <c r="F9" s="506">
        <f>(C9*100)/E9</f>
        <v>50</v>
      </c>
      <c r="G9" s="230">
        <v>0.5</v>
      </c>
      <c r="H9" s="298">
        <v>0.65</v>
      </c>
      <c r="I9" s="298">
        <v>0.56999999999999995</v>
      </c>
      <c r="J9" s="298">
        <v>0.51</v>
      </c>
    </row>
    <row r="10" spans="1:11" x14ac:dyDescent="0.2">
      <c r="A10" s="19" t="s">
        <v>6</v>
      </c>
      <c r="B10" s="19">
        <f>SUM(B6:B9)</f>
        <v>78</v>
      </c>
      <c r="C10" s="19">
        <f>SUM(C6:C9)</f>
        <v>162</v>
      </c>
      <c r="D10" s="19">
        <f>SUM(D6:D9)</f>
        <v>160</v>
      </c>
      <c r="E10" s="19">
        <f>SUM(E6:E9)</f>
        <v>322</v>
      </c>
      <c r="F10" s="506">
        <f>(C10*100)/E10</f>
        <v>50.310559006211179</v>
      </c>
      <c r="G10" s="230">
        <v>0.517133956386293</v>
      </c>
      <c r="H10" s="230">
        <v>0.51</v>
      </c>
      <c r="I10" s="230">
        <v>0.5</v>
      </c>
      <c r="J10" s="230">
        <v>0.38</v>
      </c>
    </row>
    <row r="11" spans="1:11" x14ac:dyDescent="0.2">
      <c r="A11" s="19" t="s">
        <v>874</v>
      </c>
      <c r="F11" s="230"/>
      <c r="G11" s="230"/>
      <c r="H11" s="298"/>
      <c r="I11" s="298"/>
      <c r="J11" s="298"/>
    </row>
    <row r="12" spans="1:11" x14ac:dyDescent="0.2">
      <c r="A12" s="20" t="s">
        <v>801</v>
      </c>
      <c r="F12" s="230"/>
      <c r="G12" s="230">
        <v>0.48148148148148101</v>
      </c>
      <c r="H12" s="298">
        <v>0.53</v>
      </c>
      <c r="I12" s="298">
        <v>0.52</v>
      </c>
      <c r="J12" s="298">
        <v>0.46</v>
      </c>
    </row>
    <row r="13" spans="1:11" x14ac:dyDescent="0.2">
      <c r="A13" s="20" t="s">
        <v>802</v>
      </c>
      <c r="F13" s="230"/>
      <c r="G13" s="230">
        <v>0.55000000000000004</v>
      </c>
      <c r="H13" s="298">
        <v>0.49</v>
      </c>
      <c r="I13" s="298">
        <v>0.49</v>
      </c>
      <c r="J13" s="298">
        <v>0.31</v>
      </c>
    </row>
    <row r="14" spans="1:11" x14ac:dyDescent="0.2">
      <c r="A14" s="20" t="s">
        <v>803</v>
      </c>
      <c r="F14" s="230"/>
      <c r="G14" s="230">
        <v>0.52173913043478304</v>
      </c>
      <c r="H14" s="298">
        <v>0.53</v>
      </c>
      <c r="I14" s="298">
        <v>0.51</v>
      </c>
      <c r="J14" s="298">
        <v>0.39</v>
      </c>
    </row>
    <row r="15" spans="1:11" x14ac:dyDescent="0.2">
      <c r="A15" s="19" t="s">
        <v>6</v>
      </c>
      <c r="B15" s="19"/>
      <c r="C15" s="19"/>
      <c r="D15" s="19"/>
      <c r="E15" s="19"/>
      <c r="F15" s="230"/>
      <c r="G15" s="230">
        <v>0.517133956386293</v>
      </c>
      <c r="H15" s="230">
        <v>0.51</v>
      </c>
      <c r="I15" s="230">
        <v>0.5</v>
      </c>
      <c r="J15" s="230">
        <v>0.38</v>
      </c>
    </row>
    <row r="16" spans="1:11" ht="42" customHeight="1" x14ac:dyDescent="0.2">
      <c r="A16" s="20" t="s">
        <v>917</v>
      </c>
    </row>
    <row r="17" spans="1:2" ht="38.25" customHeight="1" x14ac:dyDescent="0.2">
      <c r="A17" s="20" t="s">
        <v>918</v>
      </c>
    </row>
    <row r="18" spans="1:2" ht="39" customHeight="1" x14ac:dyDescent="0.2">
      <c r="A18" s="20" t="s">
        <v>919</v>
      </c>
    </row>
    <row r="19" spans="1:2" x14ac:dyDescent="0.2">
      <c r="A19" s="20" t="s">
        <v>16</v>
      </c>
    </row>
    <row r="21" spans="1:2" x14ac:dyDescent="0.2">
      <c r="A21" s="20" t="s">
        <v>908</v>
      </c>
    </row>
    <row r="28" spans="1:2" x14ac:dyDescent="0.2">
      <c r="B28" s="20" t="s">
        <v>794</v>
      </c>
    </row>
    <row r="50" ht="15.75" customHeight="1" x14ac:dyDescent="0.2"/>
  </sheetData>
  <mergeCells count="2">
    <mergeCell ref="B3:B4"/>
    <mergeCell ref="C3:F3"/>
  </mergeCells>
  <pageMargins left="0.78749999999999998" right="0.78749999999999998" top="1.0249999999999999" bottom="1.0249999999999999" header="0.78749999999999998" footer="0.78749999999999998"/>
  <pageSetup paperSize="9" scale="57" firstPageNumber="0" orientation="landscape" r:id="rId1"/>
  <headerFooter>
    <oddHeader>&amp;C&amp;"Arial,Normal"&amp;10&amp;A</oddHeader>
    <oddFooter>&amp;C&amp;"Arial,Normal"&amp;10Page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workbookViewId="0">
      <selection activeCell="G25" sqref="G25"/>
    </sheetView>
  </sheetViews>
  <sheetFormatPr baseColWidth="10" defaultColWidth="9.140625" defaultRowHeight="11.25" x14ac:dyDescent="0.2"/>
  <cols>
    <col min="1" max="1" width="26.85546875" style="20" customWidth="1"/>
    <col min="2" max="5" width="9.140625" style="20"/>
    <col min="6" max="6" width="17.42578125" style="20" bestFit="1" customWidth="1"/>
    <col min="7" max="7" width="20.5703125" style="20" customWidth="1"/>
    <col min="8" max="12" width="24" style="20" customWidth="1"/>
    <col min="13" max="16384" width="9.140625" style="20"/>
  </cols>
  <sheetData>
    <row r="1" spans="1:12" x14ac:dyDescent="0.2">
      <c r="A1" s="19" t="s">
        <v>69</v>
      </c>
    </row>
    <row r="2" spans="1:12" x14ac:dyDescent="0.2">
      <c r="A2" s="19"/>
    </row>
    <row r="3" spans="1:12" x14ac:dyDescent="0.2">
      <c r="B3" s="711" t="s">
        <v>17</v>
      </c>
      <c r="C3" s="712"/>
      <c r="D3" s="712"/>
      <c r="E3" s="713"/>
      <c r="F3" s="69" t="s">
        <v>651</v>
      </c>
      <c r="G3" s="69" t="s">
        <v>652</v>
      </c>
      <c r="H3" s="69" t="s">
        <v>653</v>
      </c>
      <c r="I3" s="69" t="s">
        <v>654</v>
      </c>
      <c r="J3" s="69" t="s">
        <v>655</v>
      </c>
      <c r="K3" s="115" t="s">
        <v>656</v>
      </c>
      <c r="L3" s="50"/>
    </row>
    <row r="4" spans="1:12" ht="22.5" x14ac:dyDescent="0.2">
      <c r="B4" s="51" t="s">
        <v>4</v>
      </c>
      <c r="C4" s="52" t="s">
        <v>5</v>
      </c>
      <c r="D4" s="52" t="s">
        <v>6</v>
      </c>
      <c r="E4" s="53" t="s">
        <v>7</v>
      </c>
      <c r="F4" s="54" t="s">
        <v>7</v>
      </c>
      <c r="G4" s="54" t="s">
        <v>7</v>
      </c>
      <c r="H4" s="54" t="s">
        <v>7</v>
      </c>
      <c r="I4" s="54" t="s">
        <v>7</v>
      </c>
      <c r="J4" s="54" t="s">
        <v>7</v>
      </c>
      <c r="K4" s="54" t="s">
        <v>7</v>
      </c>
      <c r="L4" s="50"/>
    </row>
    <row r="5" spans="1:12" x14ac:dyDescent="0.2">
      <c r="A5" s="116" t="s">
        <v>70</v>
      </c>
      <c r="B5" s="117"/>
      <c r="C5" s="117"/>
      <c r="D5" s="117"/>
      <c r="E5" s="118"/>
      <c r="F5" s="119"/>
      <c r="G5" s="119"/>
      <c r="H5" s="119"/>
      <c r="I5" s="119"/>
      <c r="J5" s="119"/>
      <c r="K5" s="119"/>
    </row>
    <row r="6" spans="1:12" x14ac:dyDescent="0.2">
      <c r="A6" s="20" t="s">
        <v>71</v>
      </c>
      <c r="B6" s="120">
        <v>6</v>
      </c>
      <c r="C6" s="120">
        <v>8</v>
      </c>
      <c r="D6" s="20">
        <f t="shared" ref="D6:D11" si="0">B6+C6</f>
        <v>14</v>
      </c>
      <c r="E6" s="105">
        <f t="shared" ref="E6:E11" si="1">B6/D6</f>
        <v>0.42857142857142855</v>
      </c>
      <c r="F6" s="108">
        <v>0.46666666666666667</v>
      </c>
      <c r="G6" s="108">
        <v>0.46666666666666667</v>
      </c>
      <c r="H6" s="36">
        <v>0.4</v>
      </c>
      <c r="I6" s="36">
        <v>0.27</v>
      </c>
      <c r="J6" s="36">
        <v>0.27</v>
      </c>
      <c r="K6" s="36">
        <v>0.27</v>
      </c>
    </row>
    <row r="7" spans="1:12" x14ac:dyDescent="0.2">
      <c r="A7" s="20" t="s">
        <v>72</v>
      </c>
      <c r="B7" s="120">
        <v>7</v>
      </c>
      <c r="C7" s="120">
        <v>9</v>
      </c>
      <c r="D7" s="20">
        <f t="shared" si="0"/>
        <v>16</v>
      </c>
      <c r="E7" s="105">
        <f t="shared" si="1"/>
        <v>0.4375</v>
      </c>
      <c r="F7" s="108">
        <v>0.4</v>
      </c>
      <c r="G7" s="108">
        <v>0.4</v>
      </c>
      <c r="H7" s="36">
        <v>0.4</v>
      </c>
      <c r="I7" s="36">
        <v>0.43</v>
      </c>
      <c r="J7" s="36">
        <v>0.36</v>
      </c>
      <c r="K7" s="36">
        <v>0.28999999999999998</v>
      </c>
    </row>
    <row r="8" spans="1:12" x14ac:dyDescent="0.2">
      <c r="A8" s="20" t="s">
        <v>73</v>
      </c>
      <c r="B8" s="20">
        <v>5</v>
      </c>
      <c r="C8" s="20">
        <v>7</v>
      </c>
      <c r="D8" s="20">
        <f t="shared" si="0"/>
        <v>12</v>
      </c>
      <c r="E8" s="105">
        <f t="shared" si="1"/>
        <v>0.41666666666666669</v>
      </c>
      <c r="F8" s="108">
        <v>0.38461538461538464</v>
      </c>
      <c r="G8" s="108">
        <v>0.33333333333333331</v>
      </c>
      <c r="H8" s="36">
        <v>0.38</v>
      </c>
      <c r="I8" s="36">
        <v>0.42</v>
      </c>
      <c r="J8" s="36">
        <v>0.31</v>
      </c>
      <c r="K8" s="36">
        <v>0.31</v>
      </c>
    </row>
    <row r="9" spans="1:12" x14ac:dyDescent="0.2">
      <c r="A9" s="20" t="s">
        <v>74</v>
      </c>
      <c r="B9" s="20">
        <v>6</v>
      </c>
      <c r="C9" s="20">
        <v>6</v>
      </c>
      <c r="D9" s="20">
        <f t="shared" si="0"/>
        <v>12</v>
      </c>
      <c r="E9" s="105">
        <f t="shared" si="1"/>
        <v>0.5</v>
      </c>
      <c r="F9" s="108">
        <v>0.5</v>
      </c>
      <c r="G9" s="108">
        <v>0.33333333333333331</v>
      </c>
      <c r="H9" s="36">
        <v>0.33</v>
      </c>
      <c r="I9" s="36">
        <v>0.42</v>
      </c>
      <c r="J9" s="36">
        <v>0.25</v>
      </c>
      <c r="K9" s="36">
        <v>0.25</v>
      </c>
    </row>
    <row r="10" spans="1:12" x14ac:dyDescent="0.2">
      <c r="A10" s="20" t="s">
        <v>75</v>
      </c>
      <c r="B10" s="20">
        <v>6</v>
      </c>
      <c r="C10" s="20">
        <v>8</v>
      </c>
      <c r="D10" s="20">
        <f t="shared" si="0"/>
        <v>14</v>
      </c>
      <c r="E10" s="105">
        <f t="shared" si="1"/>
        <v>0.42857142857142855</v>
      </c>
      <c r="F10" s="108">
        <v>0.46666666666666667</v>
      </c>
      <c r="G10" s="108">
        <v>0.5714285714285714</v>
      </c>
      <c r="H10" s="36">
        <v>0.47</v>
      </c>
      <c r="I10" s="36">
        <v>0.5</v>
      </c>
      <c r="J10" s="36">
        <v>0.6</v>
      </c>
      <c r="K10" s="36">
        <v>0.53</v>
      </c>
    </row>
    <row r="11" spans="1:12" ht="22.5" x14ac:dyDescent="0.2">
      <c r="A11" s="121" t="s">
        <v>76</v>
      </c>
      <c r="B11" s="19">
        <f>SUM(B6:B10)</f>
        <v>30</v>
      </c>
      <c r="C11" s="19">
        <f>SUM(C6:C10)</f>
        <v>38</v>
      </c>
      <c r="D11" s="20">
        <f t="shared" si="0"/>
        <v>68</v>
      </c>
      <c r="E11" s="105">
        <f t="shared" si="1"/>
        <v>0.44117647058823528</v>
      </c>
      <c r="F11" s="108">
        <v>0.44285714285714284</v>
      </c>
      <c r="G11" s="108">
        <v>0.4264705882352941</v>
      </c>
      <c r="H11" s="108">
        <v>0.39</v>
      </c>
      <c r="I11" s="108">
        <v>0.42</v>
      </c>
      <c r="J11" s="108">
        <v>0.36</v>
      </c>
      <c r="K11" s="108">
        <v>0.35</v>
      </c>
    </row>
    <row r="12" spans="1:12" x14ac:dyDescent="0.2">
      <c r="A12" s="116" t="s">
        <v>77</v>
      </c>
      <c r="B12" s="117"/>
      <c r="C12" s="117"/>
      <c r="D12" s="117"/>
      <c r="E12" s="122"/>
      <c r="F12" s="123"/>
      <c r="G12" s="123"/>
      <c r="H12" s="124"/>
      <c r="I12" s="124"/>
      <c r="J12" s="124"/>
      <c r="K12" s="124"/>
    </row>
    <row r="13" spans="1:12" x14ac:dyDescent="0.2">
      <c r="A13" s="20" t="s">
        <v>71</v>
      </c>
      <c r="B13" s="120">
        <v>2</v>
      </c>
      <c r="C13" s="120">
        <v>3</v>
      </c>
      <c r="D13" s="20">
        <f>B13+C13</f>
        <v>5</v>
      </c>
      <c r="E13" s="105">
        <f t="shared" ref="E13:E18" si="2">B13/D13</f>
        <v>0.4</v>
      </c>
      <c r="F13" s="108">
        <v>0.4</v>
      </c>
      <c r="G13" s="108">
        <v>0.4</v>
      </c>
      <c r="H13" s="36">
        <v>0.4</v>
      </c>
      <c r="I13" s="36">
        <v>0.4</v>
      </c>
      <c r="J13" s="36">
        <v>0.6</v>
      </c>
      <c r="K13" s="36">
        <v>0.6</v>
      </c>
    </row>
    <row r="14" spans="1:12" x14ac:dyDescent="0.2">
      <c r="A14" s="20" t="s">
        <v>78</v>
      </c>
      <c r="B14" s="120">
        <v>1</v>
      </c>
      <c r="C14" s="120">
        <v>1</v>
      </c>
      <c r="D14" s="20">
        <f>B14+C14</f>
        <v>2</v>
      </c>
      <c r="E14" s="84" t="s">
        <v>79</v>
      </c>
      <c r="F14" s="85" t="s">
        <v>79</v>
      </c>
      <c r="G14" s="108">
        <v>0</v>
      </c>
      <c r="H14" s="36">
        <v>0</v>
      </c>
      <c r="I14" s="36">
        <v>0</v>
      </c>
      <c r="J14" s="36">
        <v>0</v>
      </c>
      <c r="K14" s="36">
        <v>0</v>
      </c>
    </row>
    <row r="15" spans="1:12" x14ac:dyDescent="0.2">
      <c r="A15" s="20" t="s">
        <v>73</v>
      </c>
      <c r="B15" s="20">
        <v>2</v>
      </c>
      <c r="C15" s="20">
        <v>2</v>
      </c>
      <c r="D15" s="20">
        <f>B15+C15</f>
        <v>4</v>
      </c>
      <c r="E15" s="105">
        <f t="shared" si="2"/>
        <v>0.5</v>
      </c>
      <c r="F15" s="108">
        <v>0.5</v>
      </c>
      <c r="G15" s="108">
        <v>0.5</v>
      </c>
      <c r="H15" s="36">
        <v>0.5</v>
      </c>
      <c r="I15" s="36">
        <v>0.5</v>
      </c>
      <c r="J15" s="36">
        <v>0.5</v>
      </c>
      <c r="K15" s="36">
        <v>0.5</v>
      </c>
    </row>
    <row r="16" spans="1:12" x14ac:dyDescent="0.2">
      <c r="A16" s="20" t="s">
        <v>74</v>
      </c>
      <c r="B16" s="20">
        <v>3</v>
      </c>
      <c r="C16" s="20">
        <v>1</v>
      </c>
      <c r="D16" s="20">
        <f>B16+C16</f>
        <v>4</v>
      </c>
      <c r="E16" s="105">
        <f t="shared" si="2"/>
        <v>0.75</v>
      </c>
      <c r="F16" s="108">
        <v>0.75</v>
      </c>
      <c r="G16" s="108">
        <v>0.5</v>
      </c>
      <c r="H16" s="36">
        <v>0.5</v>
      </c>
      <c r="I16" s="36">
        <v>0.5</v>
      </c>
      <c r="J16" s="36">
        <v>0.5</v>
      </c>
      <c r="K16" s="36">
        <v>0.5</v>
      </c>
    </row>
    <row r="17" spans="1:11" x14ac:dyDescent="0.2">
      <c r="A17" s="20" t="s">
        <v>75</v>
      </c>
      <c r="B17" s="20">
        <v>2</v>
      </c>
      <c r="C17" s="20">
        <v>3</v>
      </c>
      <c r="D17" s="20">
        <f>B17+C17</f>
        <v>5</v>
      </c>
      <c r="E17" s="105">
        <f t="shared" si="2"/>
        <v>0.4</v>
      </c>
      <c r="F17" s="108">
        <v>0.4</v>
      </c>
      <c r="G17" s="108">
        <v>0.4</v>
      </c>
      <c r="H17" s="36">
        <v>0.4</v>
      </c>
      <c r="I17" s="36">
        <v>0.4</v>
      </c>
      <c r="J17" s="36">
        <v>0.6</v>
      </c>
      <c r="K17" s="36">
        <v>0.4</v>
      </c>
    </row>
    <row r="18" spans="1:11" ht="22.5" x14ac:dyDescent="0.2">
      <c r="A18" s="121" t="s">
        <v>76</v>
      </c>
      <c r="B18" s="19">
        <f>SUM(B13:B17)</f>
        <v>10</v>
      </c>
      <c r="C18" s="19">
        <f>SUM(C13:C17)</f>
        <v>10</v>
      </c>
      <c r="D18" s="19">
        <f>SUM(D13:D17)</f>
        <v>20</v>
      </c>
      <c r="E18" s="105">
        <f t="shared" si="2"/>
        <v>0.5</v>
      </c>
      <c r="F18" s="108">
        <v>0.5</v>
      </c>
      <c r="G18" s="108">
        <v>0.38095238095238093</v>
      </c>
      <c r="H18" s="108">
        <v>0.38</v>
      </c>
      <c r="I18" s="108">
        <v>0.38</v>
      </c>
      <c r="J18" s="108">
        <v>0.48</v>
      </c>
      <c r="K18" s="108">
        <v>0.43</v>
      </c>
    </row>
    <row r="19" spans="1:11" x14ac:dyDescent="0.2">
      <c r="A19" s="20" t="s">
        <v>80</v>
      </c>
    </row>
    <row r="21" spans="1:11" x14ac:dyDescent="0.2">
      <c r="A21" s="20" t="s">
        <v>921</v>
      </c>
    </row>
    <row r="24" spans="1:11" x14ac:dyDescent="0.2">
      <c r="A24" s="68"/>
    </row>
  </sheetData>
  <mergeCells count="1">
    <mergeCell ref="B3:E3"/>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election activeCell="A18" sqref="A18"/>
    </sheetView>
  </sheetViews>
  <sheetFormatPr baseColWidth="10" defaultColWidth="9.140625" defaultRowHeight="11.25" x14ac:dyDescent="0.2"/>
  <cols>
    <col min="1" max="1" width="21.7109375" style="20" customWidth="1"/>
    <col min="2" max="4" width="9.140625" style="20"/>
    <col min="5" max="5" width="15.85546875" style="20" bestFit="1" customWidth="1"/>
    <col min="6" max="6" width="19" style="20" bestFit="1" customWidth="1"/>
    <col min="7" max="16384" width="9.140625" style="20"/>
  </cols>
  <sheetData>
    <row r="1" spans="1:6" x14ac:dyDescent="0.2">
      <c r="A1" s="515" t="s">
        <v>875</v>
      </c>
    </row>
    <row r="2" spans="1:6" x14ac:dyDescent="0.2">
      <c r="A2" s="515"/>
    </row>
    <row r="3" spans="1:6" x14ac:dyDescent="0.2">
      <c r="B3" s="691" t="s">
        <v>876</v>
      </c>
      <c r="C3" s="691"/>
      <c r="D3" s="691"/>
      <c r="E3" s="691"/>
      <c r="F3" s="19" t="s">
        <v>656</v>
      </c>
    </row>
    <row r="4" spans="1:6" x14ac:dyDescent="0.2">
      <c r="B4" s="19" t="s">
        <v>4</v>
      </c>
      <c r="C4" s="19" t="s">
        <v>5</v>
      </c>
      <c r="D4" s="19" t="s">
        <v>6</v>
      </c>
      <c r="E4" s="19" t="s">
        <v>7</v>
      </c>
      <c r="F4" s="19" t="s">
        <v>877</v>
      </c>
    </row>
    <row r="5" spans="1:6" x14ac:dyDescent="0.2">
      <c r="A5" s="116" t="s">
        <v>878</v>
      </c>
      <c r="B5" s="117"/>
      <c r="C5" s="117"/>
      <c r="D5" s="117"/>
      <c r="E5" s="117"/>
      <c r="F5" s="117"/>
    </row>
    <row r="6" spans="1:6" x14ac:dyDescent="0.2">
      <c r="A6" s="20" t="s">
        <v>879</v>
      </c>
      <c r="E6" s="230"/>
      <c r="F6" s="298">
        <v>0.24</v>
      </c>
    </row>
    <row r="7" spans="1:6" x14ac:dyDescent="0.2">
      <c r="A7" s="20" t="s">
        <v>880</v>
      </c>
      <c r="E7" s="230"/>
      <c r="F7" s="298">
        <v>0.32</v>
      </c>
    </row>
    <row r="8" spans="1:6" ht="22.5" x14ac:dyDescent="0.2">
      <c r="A8" s="49" t="s">
        <v>881</v>
      </c>
      <c r="E8" s="230"/>
      <c r="F8" s="298">
        <v>0.28000000000000003</v>
      </c>
    </row>
    <row r="9" spans="1:6" ht="22.5" x14ac:dyDescent="0.2">
      <c r="A9" s="49" t="s">
        <v>882</v>
      </c>
      <c r="E9" s="230"/>
      <c r="F9" s="298">
        <v>0.28000000000000003</v>
      </c>
    </row>
    <row r="10" spans="1:6" ht="33.75" x14ac:dyDescent="0.2">
      <c r="A10" s="49" t="s">
        <v>883</v>
      </c>
      <c r="E10" s="230"/>
      <c r="F10" s="298">
        <v>0.39</v>
      </c>
    </row>
    <row r="11" spans="1:6" x14ac:dyDescent="0.2">
      <c r="A11" s="19" t="s">
        <v>6</v>
      </c>
      <c r="B11" s="19"/>
      <c r="C11" s="19"/>
      <c r="D11" s="19"/>
      <c r="E11" s="230"/>
      <c r="F11" s="230">
        <v>0.28999999999999998</v>
      </c>
    </row>
    <row r="12" spans="1:6" ht="107.25" customHeight="1" x14ac:dyDescent="0.2">
      <c r="A12" s="718" t="s">
        <v>884</v>
      </c>
      <c r="B12" s="718"/>
      <c r="C12" s="718"/>
      <c r="D12" s="718"/>
      <c r="E12" s="718"/>
      <c r="F12" s="718"/>
    </row>
    <row r="13" spans="1:6" x14ac:dyDescent="0.2">
      <c r="A13" s="20" t="s">
        <v>885</v>
      </c>
    </row>
    <row r="14" spans="1:6" x14ac:dyDescent="0.2">
      <c r="A14" s="20" t="s">
        <v>886</v>
      </c>
    </row>
    <row r="15" spans="1:6" x14ac:dyDescent="0.2">
      <c r="A15" s="20" t="s">
        <v>32</v>
      </c>
    </row>
    <row r="16" spans="1:6" x14ac:dyDescent="0.2">
      <c r="A16" s="20" t="s">
        <v>887</v>
      </c>
    </row>
    <row r="18" spans="1:1" x14ac:dyDescent="0.2">
      <c r="A18" s="20" t="s">
        <v>922</v>
      </c>
    </row>
    <row r="20" spans="1:1" x14ac:dyDescent="0.2">
      <c r="A20" s="68"/>
    </row>
  </sheetData>
  <mergeCells count="2">
    <mergeCell ref="B3:E3"/>
    <mergeCell ref="A12:F12"/>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activeCell="A41" sqref="A41"/>
    </sheetView>
  </sheetViews>
  <sheetFormatPr baseColWidth="10" defaultRowHeight="11.25" x14ac:dyDescent="0.2"/>
  <cols>
    <col min="1" max="1" width="42.140625" style="2" customWidth="1"/>
    <col min="2" max="2" width="8.5703125" style="2" bestFit="1" customWidth="1"/>
    <col min="3" max="3" width="8.85546875" style="2" bestFit="1" customWidth="1"/>
    <col min="4" max="4" width="8.5703125" style="2" customWidth="1"/>
    <col min="5" max="5" width="8.140625" style="2" customWidth="1"/>
    <col min="6" max="8" width="17.85546875" style="2" bestFit="1" customWidth="1"/>
    <col min="9" max="16384" width="11.42578125" style="2"/>
  </cols>
  <sheetData>
    <row r="1" spans="1:10" x14ac:dyDescent="0.2">
      <c r="A1" s="15" t="s">
        <v>309</v>
      </c>
      <c r="B1" s="15"/>
      <c r="C1" s="15"/>
      <c r="D1" s="15"/>
      <c r="E1" s="15"/>
      <c r="F1" s="15"/>
      <c r="G1" s="15"/>
      <c r="H1" s="15"/>
    </row>
    <row r="2" spans="1:10" x14ac:dyDescent="0.2">
      <c r="A2" s="15"/>
      <c r="B2" s="15"/>
      <c r="C2" s="15"/>
      <c r="D2" s="15"/>
      <c r="E2" s="15"/>
      <c r="F2" s="15"/>
      <c r="G2" s="15"/>
      <c r="H2" s="15"/>
    </row>
    <row r="3" spans="1:10" x14ac:dyDescent="0.2">
      <c r="A3" s="15"/>
      <c r="B3" s="719" t="s">
        <v>17</v>
      </c>
      <c r="C3" s="719"/>
      <c r="D3" s="719"/>
      <c r="E3" s="719"/>
      <c r="F3" s="14" t="s">
        <v>3</v>
      </c>
      <c r="G3" s="14" t="s">
        <v>2</v>
      </c>
      <c r="H3" s="14" t="s">
        <v>310</v>
      </c>
      <c r="I3" s="17"/>
      <c r="J3" s="17"/>
    </row>
    <row r="4" spans="1:10" x14ac:dyDescent="0.2">
      <c r="A4" s="15"/>
      <c r="B4" s="719" t="s">
        <v>311</v>
      </c>
      <c r="C4" s="719"/>
      <c r="D4" s="719"/>
      <c r="E4" s="719" t="s">
        <v>281</v>
      </c>
      <c r="F4" s="719"/>
      <c r="G4" s="719"/>
      <c r="H4" s="719"/>
      <c r="I4" s="17"/>
      <c r="J4" s="17"/>
    </row>
    <row r="5" spans="1:10" x14ac:dyDescent="0.2">
      <c r="A5" s="15"/>
      <c r="B5" s="14" t="s">
        <v>4</v>
      </c>
      <c r="C5" s="14" t="s">
        <v>5</v>
      </c>
      <c r="D5" s="14" t="s">
        <v>6</v>
      </c>
      <c r="E5" s="720"/>
      <c r="F5" s="720"/>
      <c r="G5" s="720"/>
      <c r="H5" s="720"/>
      <c r="I5" s="17"/>
      <c r="J5" s="17"/>
    </row>
    <row r="6" spans="1:10" s="15" customFormat="1" x14ac:dyDescent="0.2">
      <c r="A6" s="15" t="s">
        <v>312</v>
      </c>
      <c r="B6" s="125">
        <v>92</v>
      </c>
      <c r="C6" s="126">
        <v>189</v>
      </c>
      <c r="D6" s="127">
        <v>281</v>
      </c>
      <c r="E6" s="128">
        <v>0.32740213523131673</v>
      </c>
      <c r="F6" s="14">
        <v>29</v>
      </c>
      <c r="G6" s="14">
        <v>23</v>
      </c>
      <c r="H6" s="14">
        <v>22</v>
      </c>
    </row>
    <row r="7" spans="1:10" x14ac:dyDescent="0.2">
      <c r="A7" s="2" t="s">
        <v>313</v>
      </c>
      <c r="B7" s="129">
        <v>8</v>
      </c>
      <c r="C7" s="130">
        <v>18</v>
      </c>
      <c r="D7" s="131">
        <v>26</v>
      </c>
      <c r="E7" s="132">
        <v>0.30769230769230771</v>
      </c>
      <c r="F7" s="17">
        <v>21</v>
      </c>
      <c r="G7" s="17">
        <v>8</v>
      </c>
      <c r="H7" s="17">
        <v>7</v>
      </c>
    </row>
    <row r="8" spans="1:10" x14ac:dyDescent="0.2">
      <c r="A8" s="2" t="s">
        <v>314</v>
      </c>
      <c r="B8" s="129">
        <v>84</v>
      </c>
      <c r="C8" s="130">
        <v>171</v>
      </c>
      <c r="D8" s="131">
        <v>255</v>
      </c>
      <c r="E8" s="132">
        <v>0.32941176470588235</v>
      </c>
      <c r="F8" s="17">
        <v>30</v>
      </c>
      <c r="G8" s="17">
        <v>24</v>
      </c>
      <c r="H8" s="17">
        <v>24</v>
      </c>
    </row>
    <row r="9" spans="1:10" s="133" customFormat="1" x14ac:dyDescent="0.2">
      <c r="A9" s="133" t="s">
        <v>315</v>
      </c>
      <c r="B9" s="129">
        <v>51</v>
      </c>
      <c r="C9" s="130">
        <v>119</v>
      </c>
      <c r="D9" s="131">
        <v>170</v>
      </c>
      <c r="E9" s="132">
        <v>0.3</v>
      </c>
      <c r="F9" s="134">
        <v>26</v>
      </c>
      <c r="G9" s="134">
        <v>23</v>
      </c>
      <c r="H9" s="134">
        <v>24</v>
      </c>
    </row>
    <row r="10" spans="1:10" s="133" customFormat="1" x14ac:dyDescent="0.2">
      <c r="A10" s="133" t="s">
        <v>316</v>
      </c>
      <c r="B10" s="129">
        <v>33</v>
      </c>
      <c r="C10" s="130">
        <v>52</v>
      </c>
      <c r="D10" s="131">
        <v>85</v>
      </c>
      <c r="E10" s="132">
        <v>0.38823529411764707</v>
      </c>
      <c r="F10" s="134">
        <v>38</v>
      </c>
      <c r="G10" s="134">
        <v>28</v>
      </c>
      <c r="H10" s="134">
        <v>22</v>
      </c>
    </row>
    <row r="11" spans="1:10" s="15" customFormat="1" x14ac:dyDescent="0.2">
      <c r="A11" s="15" t="s">
        <v>317</v>
      </c>
      <c r="B11" s="125">
        <v>18</v>
      </c>
      <c r="C11" s="126">
        <v>36</v>
      </c>
      <c r="D11" s="127">
        <v>54</v>
      </c>
      <c r="E11" s="128">
        <v>0.33333333333333331</v>
      </c>
      <c r="F11" s="14">
        <v>35</v>
      </c>
      <c r="G11" s="14">
        <v>28</v>
      </c>
      <c r="H11" s="14">
        <v>29</v>
      </c>
    </row>
    <row r="12" spans="1:10" x14ac:dyDescent="0.2">
      <c r="A12" s="2" t="s">
        <v>318</v>
      </c>
      <c r="B12" s="129">
        <v>0</v>
      </c>
      <c r="C12" s="130">
        <v>1</v>
      </c>
      <c r="D12" s="131">
        <v>1</v>
      </c>
      <c r="E12" s="132">
        <v>0</v>
      </c>
      <c r="F12" s="17">
        <v>0</v>
      </c>
      <c r="G12" s="17">
        <v>0</v>
      </c>
      <c r="H12" s="17">
        <v>0</v>
      </c>
    </row>
    <row r="13" spans="1:10" x14ac:dyDescent="0.2">
      <c r="A13" s="2" t="s">
        <v>314</v>
      </c>
      <c r="B13" s="135">
        <v>18</v>
      </c>
      <c r="C13" s="136">
        <v>35</v>
      </c>
      <c r="D13" s="137">
        <v>53</v>
      </c>
      <c r="E13" s="138">
        <v>0.33962264150943394</v>
      </c>
      <c r="F13" s="17">
        <v>35</v>
      </c>
      <c r="G13" s="17">
        <v>28</v>
      </c>
      <c r="H13" s="17">
        <v>30</v>
      </c>
    </row>
    <row r="14" spans="1:10" s="15" customFormat="1" x14ac:dyDescent="0.2">
      <c r="A14" s="15" t="s">
        <v>319</v>
      </c>
      <c r="B14" s="125">
        <v>8</v>
      </c>
      <c r="C14" s="126">
        <v>18</v>
      </c>
      <c r="D14" s="127">
        <v>26</v>
      </c>
      <c r="E14" s="128">
        <v>0.30769230769230771</v>
      </c>
      <c r="F14" s="14">
        <v>28</v>
      </c>
      <c r="G14" s="14">
        <v>17</v>
      </c>
      <c r="H14" s="14">
        <v>20</v>
      </c>
    </row>
    <row r="15" spans="1:10" x14ac:dyDescent="0.2">
      <c r="A15" s="2" t="s">
        <v>318</v>
      </c>
      <c r="B15" s="129">
        <v>0</v>
      </c>
      <c r="C15" s="130">
        <v>1</v>
      </c>
      <c r="D15" s="131">
        <v>1</v>
      </c>
      <c r="E15" s="132">
        <v>0</v>
      </c>
      <c r="F15" s="17">
        <v>0</v>
      </c>
      <c r="G15" s="17">
        <v>0</v>
      </c>
      <c r="H15" s="17">
        <v>0</v>
      </c>
    </row>
    <row r="16" spans="1:10" x14ac:dyDescent="0.2">
      <c r="A16" s="2" t="s">
        <v>320</v>
      </c>
      <c r="B16" s="135">
        <v>8</v>
      </c>
      <c r="C16" s="136">
        <v>17</v>
      </c>
      <c r="D16" s="137">
        <v>25</v>
      </c>
      <c r="E16" s="138">
        <v>0.32</v>
      </c>
      <c r="F16" s="17">
        <v>29</v>
      </c>
      <c r="G16" s="17">
        <v>17</v>
      </c>
      <c r="H16" s="17">
        <v>21</v>
      </c>
    </row>
    <row r="17" spans="1:8" s="15" customFormat="1" x14ac:dyDescent="0.2">
      <c r="A17" s="15" t="s">
        <v>321</v>
      </c>
      <c r="B17" s="139">
        <v>66</v>
      </c>
      <c r="C17" s="140">
        <v>135</v>
      </c>
      <c r="D17" s="131">
        <v>201</v>
      </c>
      <c r="E17" s="141">
        <v>0.32835820895522388</v>
      </c>
      <c r="F17" s="14">
        <v>27</v>
      </c>
      <c r="G17" s="14">
        <v>22</v>
      </c>
      <c r="H17" s="14">
        <v>21</v>
      </c>
    </row>
    <row r="18" spans="1:8" x14ac:dyDescent="0.2">
      <c r="A18" s="2" t="s">
        <v>313</v>
      </c>
      <c r="B18" s="129">
        <v>8</v>
      </c>
      <c r="C18" s="130">
        <v>16</v>
      </c>
      <c r="D18" s="131">
        <v>24</v>
      </c>
      <c r="E18" s="132">
        <v>0.33333333333333331</v>
      </c>
      <c r="F18" s="17">
        <v>23</v>
      </c>
      <c r="G18" s="17">
        <v>10</v>
      </c>
      <c r="H18" s="17">
        <v>7</v>
      </c>
    </row>
    <row r="19" spans="1:8" x14ac:dyDescent="0.2">
      <c r="A19" s="2" t="s">
        <v>314</v>
      </c>
      <c r="B19" s="135">
        <v>58</v>
      </c>
      <c r="C19" s="136">
        <v>119</v>
      </c>
      <c r="D19" s="137">
        <v>177</v>
      </c>
      <c r="E19" s="138">
        <v>0.32768361581920902</v>
      </c>
      <c r="F19" s="17">
        <v>28</v>
      </c>
      <c r="G19" s="17">
        <v>24</v>
      </c>
      <c r="H19" s="17">
        <v>23</v>
      </c>
    </row>
    <row r="20" spans="1:8" s="15" customFormat="1" x14ac:dyDescent="0.2">
      <c r="A20" s="15" t="s">
        <v>322</v>
      </c>
      <c r="B20" s="142">
        <v>10</v>
      </c>
      <c r="C20" s="143">
        <v>10</v>
      </c>
      <c r="D20" s="144">
        <v>20</v>
      </c>
      <c r="E20" s="145">
        <v>0.5</v>
      </c>
      <c r="F20" s="14">
        <v>31</v>
      </c>
      <c r="G20" s="14"/>
      <c r="H20" s="14"/>
    </row>
    <row r="21" spans="1:8" s="15" customFormat="1" x14ac:dyDescent="0.2">
      <c r="A21" s="15" t="s">
        <v>323</v>
      </c>
      <c r="B21" s="146">
        <v>5</v>
      </c>
      <c r="C21" s="147">
        <v>23</v>
      </c>
      <c r="D21" s="148">
        <v>28</v>
      </c>
      <c r="E21" s="149">
        <v>0.17857142857142858</v>
      </c>
      <c r="F21" s="14">
        <v>25</v>
      </c>
      <c r="G21" s="14"/>
      <c r="H21" s="14"/>
    </row>
    <row r="22" spans="1:8" x14ac:dyDescent="0.2">
      <c r="A22" s="2" t="s">
        <v>318</v>
      </c>
      <c r="B22" s="150">
        <v>0</v>
      </c>
      <c r="C22" s="151">
        <v>2</v>
      </c>
      <c r="D22" s="144">
        <v>2</v>
      </c>
      <c r="E22" s="152">
        <v>0</v>
      </c>
      <c r="F22" s="17">
        <v>100</v>
      </c>
      <c r="G22" s="17"/>
      <c r="H22" s="17"/>
    </row>
    <row r="23" spans="1:8" x14ac:dyDescent="0.2">
      <c r="A23" s="2" t="s">
        <v>324</v>
      </c>
      <c r="B23" s="153">
        <v>5</v>
      </c>
      <c r="C23" s="154">
        <v>21</v>
      </c>
      <c r="D23" s="155">
        <v>26</v>
      </c>
      <c r="E23" s="156">
        <v>0.19230769230769232</v>
      </c>
      <c r="F23" s="17">
        <v>22</v>
      </c>
      <c r="G23" s="17"/>
      <c r="H23" s="17"/>
    </row>
    <row r="25" spans="1:8" x14ac:dyDescent="0.2">
      <c r="A25" s="2" t="s">
        <v>325</v>
      </c>
    </row>
    <row r="26" spans="1:8" x14ac:dyDescent="0.2">
      <c r="A26" s="2" t="s">
        <v>326</v>
      </c>
    </row>
    <row r="27" spans="1:8" x14ac:dyDescent="0.2">
      <c r="A27" s="2" t="s">
        <v>327</v>
      </c>
    </row>
    <row r="28" spans="1:8" x14ac:dyDescent="0.2">
      <c r="A28" s="2" t="s">
        <v>635</v>
      </c>
    </row>
    <row r="29" spans="1:8" x14ac:dyDescent="0.2">
      <c r="A29" s="516" t="s">
        <v>636</v>
      </c>
    </row>
    <row r="31" spans="1:8" x14ac:dyDescent="0.2">
      <c r="A31" s="2" t="s">
        <v>634</v>
      </c>
    </row>
    <row r="33" spans="1:6" x14ac:dyDescent="0.2">
      <c r="A33" s="517" t="s">
        <v>328</v>
      </c>
      <c r="B33" s="518"/>
      <c r="C33" s="518"/>
      <c r="D33" s="518"/>
      <c r="E33" s="518"/>
      <c r="F33" s="516"/>
    </row>
    <row r="34" spans="1:6" x14ac:dyDescent="0.2">
      <c r="A34" s="518" t="s">
        <v>329</v>
      </c>
      <c r="B34" s="518"/>
      <c r="C34" s="518"/>
      <c r="D34" s="518"/>
      <c r="E34" s="518"/>
      <c r="F34" s="516"/>
    </row>
    <row r="35" spans="1:6" x14ac:dyDescent="0.2">
      <c r="A35" s="518" t="s">
        <v>330</v>
      </c>
      <c r="B35" s="518"/>
      <c r="C35" s="518"/>
      <c r="D35" s="518"/>
      <c r="E35" s="518"/>
      <c r="F35" s="516"/>
    </row>
    <row r="36" spans="1:6" x14ac:dyDescent="0.2">
      <c r="A36" s="518"/>
      <c r="B36" s="519"/>
      <c r="C36" s="518"/>
      <c r="D36" s="518"/>
      <c r="E36" s="518"/>
      <c r="F36" s="516"/>
    </row>
    <row r="37" spans="1:6" x14ac:dyDescent="0.2">
      <c r="A37" s="721" t="s">
        <v>331</v>
      </c>
      <c r="B37" s="723" t="s">
        <v>17</v>
      </c>
      <c r="C37" s="724"/>
      <c r="D37" s="724"/>
      <c r="E37" s="725"/>
      <c r="F37" s="516"/>
    </row>
    <row r="38" spans="1:6" ht="22.5" x14ac:dyDescent="0.2">
      <c r="A38" s="722"/>
      <c r="B38" s="520" t="s">
        <v>4</v>
      </c>
      <c r="C38" s="521" t="s">
        <v>5</v>
      </c>
      <c r="D38" s="522" t="s">
        <v>6</v>
      </c>
      <c r="E38" s="523" t="s">
        <v>7</v>
      </c>
      <c r="F38" s="516"/>
    </row>
    <row r="39" spans="1:6" x14ac:dyDescent="0.2">
      <c r="A39" s="524" t="s">
        <v>332</v>
      </c>
      <c r="B39" s="524">
        <v>73</v>
      </c>
      <c r="C39" s="525">
        <v>142</v>
      </c>
      <c r="D39" s="526">
        <v>215</v>
      </c>
      <c r="E39" s="527">
        <v>0.33953488372093021</v>
      </c>
      <c r="F39" s="516"/>
    </row>
    <row r="40" spans="1:6" x14ac:dyDescent="0.2">
      <c r="A40" s="528"/>
      <c r="B40" s="528"/>
      <c r="C40" s="528"/>
      <c r="D40" s="528"/>
      <c r="E40" s="529"/>
      <c r="F40" s="516"/>
    </row>
    <row r="41" spans="1:6" x14ac:dyDescent="0.2">
      <c r="A41" s="2" t="s">
        <v>634</v>
      </c>
      <c r="B41" s="518"/>
      <c r="C41" s="518"/>
      <c r="D41" s="518"/>
      <c r="E41" s="518"/>
      <c r="F41" s="516"/>
    </row>
    <row r="42" spans="1:6" ht="2.25" customHeight="1" x14ac:dyDescent="0.2"/>
  </sheetData>
  <mergeCells count="5">
    <mergeCell ref="B3:E3"/>
    <mergeCell ref="B4:D4"/>
    <mergeCell ref="E4:H5"/>
    <mergeCell ref="A37:A38"/>
    <mergeCell ref="B37:E3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11"/>
  <sheetViews>
    <sheetView zoomScaleNormal="100" workbookViewId="0">
      <selection activeCell="A9" sqref="A9"/>
    </sheetView>
  </sheetViews>
  <sheetFormatPr baseColWidth="10" defaultColWidth="9.140625" defaultRowHeight="11.25" x14ac:dyDescent="0.2"/>
  <cols>
    <col min="1" max="16384" width="9.140625" style="20"/>
  </cols>
  <sheetData>
    <row r="1" spans="1:8" x14ac:dyDescent="0.2">
      <c r="A1" s="19" t="s">
        <v>813</v>
      </c>
    </row>
    <row r="2" spans="1:8" x14ac:dyDescent="0.2">
      <c r="A2" s="19"/>
    </row>
    <row r="3" spans="1:8" x14ac:dyDescent="0.2">
      <c r="B3" s="726" t="s">
        <v>814</v>
      </c>
      <c r="C3" s="726"/>
      <c r="D3" s="726"/>
      <c r="E3" s="726"/>
      <c r="F3" s="530" t="s">
        <v>815</v>
      </c>
      <c r="G3" s="530" t="s">
        <v>816</v>
      </c>
      <c r="H3" s="530" t="s">
        <v>817</v>
      </c>
    </row>
    <row r="4" spans="1:8" x14ac:dyDescent="0.2">
      <c r="B4" s="19" t="s">
        <v>4</v>
      </c>
      <c r="C4" s="19" t="s">
        <v>5</v>
      </c>
      <c r="D4" s="19" t="s">
        <v>6</v>
      </c>
      <c r="E4" s="19" t="s">
        <v>7</v>
      </c>
      <c r="F4" s="19"/>
      <c r="G4" s="19" t="s">
        <v>7</v>
      </c>
      <c r="H4" s="19" t="s">
        <v>7</v>
      </c>
    </row>
    <row r="5" spans="1:8" x14ac:dyDescent="0.2">
      <c r="A5" s="20" t="s">
        <v>313</v>
      </c>
      <c r="B5" s="20">
        <v>9</v>
      </c>
      <c r="C5" s="20">
        <v>14</v>
      </c>
      <c r="D5" s="20">
        <v>23</v>
      </c>
      <c r="E5" s="230">
        <f>B5/D5</f>
        <v>0.39130434782608697</v>
      </c>
      <c r="F5" s="230">
        <v>0.27083333333333298</v>
      </c>
      <c r="G5" s="298">
        <v>0.27</v>
      </c>
      <c r="H5" s="298">
        <v>0.31</v>
      </c>
    </row>
    <row r="6" spans="1:8" x14ac:dyDescent="0.2">
      <c r="A6" s="20" t="s">
        <v>818</v>
      </c>
      <c r="B6" s="20">
        <v>454</v>
      </c>
      <c r="C6" s="20">
        <v>428</v>
      </c>
      <c r="D6" s="20">
        <v>882</v>
      </c>
      <c r="E6" s="230">
        <f>B6/D6</f>
        <v>0.51473922902494329</v>
      </c>
      <c r="F6" s="230">
        <v>0.39960238568588502</v>
      </c>
      <c r="G6" s="298">
        <v>0.42</v>
      </c>
      <c r="H6" s="298">
        <v>0.4</v>
      </c>
    </row>
    <row r="7" spans="1:8" x14ac:dyDescent="0.2">
      <c r="A7" s="20" t="s">
        <v>6</v>
      </c>
      <c r="B7" s="19">
        <v>463</v>
      </c>
      <c r="C7" s="19">
        <v>442</v>
      </c>
      <c r="D7" s="19">
        <v>905</v>
      </c>
      <c r="E7" s="230">
        <f>B7/D7</f>
        <v>0.51160220994475136</v>
      </c>
      <c r="F7" s="230">
        <v>0.38838475499092601</v>
      </c>
      <c r="G7" s="230">
        <v>0.41</v>
      </c>
      <c r="H7" s="230">
        <v>0.4</v>
      </c>
    </row>
    <row r="8" spans="1:8" x14ac:dyDescent="0.2">
      <c r="B8" s="19"/>
      <c r="C8" s="19"/>
      <c r="D8" s="19"/>
      <c r="E8" s="230"/>
      <c r="F8" s="230"/>
      <c r="G8" s="230"/>
      <c r="H8" s="230"/>
    </row>
    <row r="9" spans="1:8" x14ac:dyDescent="0.2">
      <c r="A9" s="20" t="s">
        <v>819</v>
      </c>
    </row>
    <row r="11" spans="1:8" x14ac:dyDescent="0.2">
      <c r="A11" s="68"/>
    </row>
  </sheetData>
  <mergeCells count="1">
    <mergeCell ref="B3:E3"/>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A22" sqref="A22"/>
    </sheetView>
  </sheetViews>
  <sheetFormatPr baseColWidth="10" defaultRowHeight="11.25" x14ac:dyDescent="0.2"/>
  <cols>
    <col min="1" max="1" width="75.5703125" style="2" customWidth="1"/>
    <col min="2" max="3" width="11.42578125" style="2"/>
    <col min="4" max="4" width="15.85546875" style="2" bestFit="1" customWidth="1"/>
    <col min="5" max="5" width="17.85546875" style="2" bestFit="1" customWidth="1"/>
    <col min="6" max="6" width="15.85546875" style="2" bestFit="1" customWidth="1"/>
    <col min="7" max="16384" width="11.42578125" style="2"/>
  </cols>
  <sheetData>
    <row r="1" spans="1:6" x14ac:dyDescent="0.2">
      <c r="A1" s="15" t="s">
        <v>333</v>
      </c>
      <c r="B1" s="15"/>
      <c r="C1" s="15"/>
      <c r="D1" s="15"/>
      <c r="E1" s="15"/>
      <c r="F1" s="15"/>
    </row>
    <row r="2" spans="1:6" x14ac:dyDescent="0.2">
      <c r="A2" s="15"/>
      <c r="B2" s="15"/>
      <c r="C2" s="15"/>
      <c r="D2" s="15"/>
      <c r="E2" s="15"/>
      <c r="F2" s="15"/>
    </row>
    <row r="3" spans="1:6" x14ac:dyDescent="0.2">
      <c r="A3" s="15"/>
      <c r="B3" s="727" t="s">
        <v>334</v>
      </c>
      <c r="C3" s="727"/>
      <c r="D3" s="728"/>
      <c r="E3" s="14" t="s">
        <v>2</v>
      </c>
      <c r="F3" s="14" t="s">
        <v>335</v>
      </c>
    </row>
    <row r="4" spans="1:6" x14ac:dyDescent="0.2">
      <c r="A4" s="15"/>
      <c r="B4" s="14" t="s">
        <v>4</v>
      </c>
      <c r="C4" s="14" t="s">
        <v>5</v>
      </c>
      <c r="D4" s="705" t="s">
        <v>281</v>
      </c>
      <c r="E4" s="729"/>
      <c r="F4" s="730"/>
    </row>
    <row r="5" spans="1:6" x14ac:dyDescent="0.2">
      <c r="A5" s="15" t="s">
        <v>336</v>
      </c>
      <c r="D5" s="157"/>
      <c r="E5" s="14"/>
      <c r="F5" s="14"/>
    </row>
    <row r="6" spans="1:6" x14ac:dyDescent="0.2">
      <c r="A6" s="2" t="s">
        <v>337</v>
      </c>
      <c r="B6" s="17">
        <v>4</v>
      </c>
      <c r="C6" s="17">
        <v>4</v>
      </c>
      <c r="D6" s="158">
        <v>50</v>
      </c>
      <c r="E6" s="17">
        <v>63</v>
      </c>
      <c r="F6" s="17">
        <v>63</v>
      </c>
    </row>
    <row r="7" spans="1:6" x14ac:dyDescent="0.2">
      <c r="A7" s="2" t="s">
        <v>338</v>
      </c>
      <c r="B7" s="17">
        <v>4</v>
      </c>
      <c r="C7" s="17">
        <v>4</v>
      </c>
      <c r="D7" s="158">
        <v>50</v>
      </c>
      <c r="E7" s="17">
        <v>50</v>
      </c>
      <c r="F7" s="17">
        <v>50</v>
      </c>
    </row>
    <row r="8" spans="1:6" x14ac:dyDescent="0.2">
      <c r="A8" s="2" t="s">
        <v>339</v>
      </c>
      <c r="B8" s="17">
        <v>4</v>
      </c>
      <c r="C8" s="17">
        <v>4</v>
      </c>
      <c r="D8" s="158">
        <v>50</v>
      </c>
      <c r="E8" s="17">
        <v>50</v>
      </c>
      <c r="F8" s="17">
        <v>50</v>
      </c>
    </row>
    <row r="9" spans="1:6" x14ac:dyDescent="0.2">
      <c r="B9" s="17"/>
      <c r="C9" s="17"/>
      <c r="D9" s="158"/>
      <c r="E9" s="17"/>
      <c r="F9" s="17"/>
    </row>
    <row r="10" spans="1:6" s="15" customFormat="1" x14ac:dyDescent="0.2">
      <c r="A10" s="15" t="s">
        <v>340</v>
      </c>
      <c r="D10" s="16"/>
      <c r="E10" s="14"/>
      <c r="F10" s="14"/>
    </row>
    <row r="11" spans="1:6" x14ac:dyDescent="0.2">
      <c r="A11" s="2" t="s">
        <v>341</v>
      </c>
      <c r="B11" s="17">
        <v>4</v>
      </c>
      <c r="C11" s="17">
        <v>4</v>
      </c>
      <c r="D11" s="158">
        <v>50</v>
      </c>
      <c r="E11" s="17">
        <v>50</v>
      </c>
      <c r="F11" s="17">
        <v>50</v>
      </c>
    </row>
    <row r="12" spans="1:6" x14ac:dyDescent="0.2">
      <c r="A12" s="2" t="s">
        <v>342</v>
      </c>
      <c r="B12" s="17" t="s">
        <v>343</v>
      </c>
      <c r="C12" s="17" t="s">
        <v>343</v>
      </c>
      <c r="D12" s="158">
        <v>50</v>
      </c>
      <c r="E12" s="17">
        <v>50</v>
      </c>
      <c r="F12" s="17">
        <v>50</v>
      </c>
    </row>
    <row r="13" spans="1:6" x14ac:dyDescent="0.2">
      <c r="A13" s="2" t="s">
        <v>344</v>
      </c>
      <c r="B13" s="17">
        <v>2</v>
      </c>
      <c r="C13" s="17">
        <v>2</v>
      </c>
      <c r="D13" s="158">
        <v>50</v>
      </c>
      <c r="E13" s="17">
        <v>75</v>
      </c>
      <c r="F13" s="17">
        <v>75</v>
      </c>
    </row>
    <row r="14" spans="1:6" x14ac:dyDescent="0.2">
      <c r="A14" s="2" t="s">
        <v>345</v>
      </c>
      <c r="B14" s="17">
        <v>4</v>
      </c>
      <c r="C14" s="17">
        <v>4</v>
      </c>
      <c r="D14" s="158">
        <v>50</v>
      </c>
      <c r="E14" s="17">
        <v>50</v>
      </c>
      <c r="F14" s="17">
        <v>50</v>
      </c>
    </row>
    <row r="15" spans="1:6" x14ac:dyDescent="0.2">
      <c r="A15" s="2" t="s">
        <v>346</v>
      </c>
      <c r="B15" s="17">
        <v>4</v>
      </c>
      <c r="C15" s="17">
        <v>4</v>
      </c>
      <c r="D15" s="158">
        <v>50</v>
      </c>
      <c r="E15" s="17">
        <v>50</v>
      </c>
      <c r="F15" s="17">
        <v>50</v>
      </c>
    </row>
    <row r="16" spans="1:6" x14ac:dyDescent="0.2">
      <c r="A16" s="2" t="s">
        <v>347</v>
      </c>
      <c r="B16" s="17">
        <v>3</v>
      </c>
      <c r="C16" s="17">
        <v>2</v>
      </c>
      <c r="D16" s="159">
        <v>60</v>
      </c>
      <c r="E16" s="17">
        <v>63</v>
      </c>
      <c r="F16" s="160">
        <v>62</v>
      </c>
    </row>
    <row r="17" spans="1:6" x14ac:dyDescent="0.2">
      <c r="A17" s="2" t="s">
        <v>348</v>
      </c>
      <c r="B17" s="17">
        <v>2</v>
      </c>
      <c r="C17" s="17">
        <v>2</v>
      </c>
      <c r="D17" s="158">
        <v>50</v>
      </c>
      <c r="E17" s="17">
        <v>50</v>
      </c>
      <c r="F17" s="160">
        <v>50</v>
      </c>
    </row>
    <row r="18" spans="1:6" x14ac:dyDescent="0.2">
      <c r="A18" s="2" t="s">
        <v>349</v>
      </c>
      <c r="B18" s="17">
        <v>2</v>
      </c>
      <c r="C18" s="17">
        <v>2</v>
      </c>
      <c r="D18" s="158">
        <v>50</v>
      </c>
      <c r="E18" s="17">
        <v>50</v>
      </c>
      <c r="F18" s="160">
        <v>50</v>
      </c>
    </row>
    <row r="19" spans="1:6" x14ac:dyDescent="0.2">
      <c r="A19" s="2" t="s">
        <v>350</v>
      </c>
      <c r="B19" s="17">
        <v>4</v>
      </c>
      <c r="C19" s="17">
        <v>4</v>
      </c>
      <c r="D19" s="158">
        <v>50</v>
      </c>
      <c r="E19" s="17">
        <v>63</v>
      </c>
      <c r="F19" s="160">
        <v>50</v>
      </c>
    </row>
    <row r="20" spans="1:6" s="15" customFormat="1" x14ac:dyDescent="0.2">
      <c r="A20" s="15" t="s">
        <v>6</v>
      </c>
      <c r="B20" s="14">
        <f>SUM(B6:B19)</f>
        <v>37</v>
      </c>
      <c r="C20" s="14">
        <f>SUM(C6:C19)</f>
        <v>36</v>
      </c>
      <c r="D20" s="161">
        <v>51</v>
      </c>
      <c r="E20" s="14">
        <v>55</v>
      </c>
      <c r="F20" s="162">
        <v>53</v>
      </c>
    </row>
    <row r="22" spans="1:6" x14ac:dyDescent="0.2">
      <c r="A22" s="2" t="s">
        <v>923</v>
      </c>
    </row>
  </sheetData>
  <mergeCells count="2">
    <mergeCell ref="B3:D3"/>
    <mergeCell ref="D4:F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F13" sqref="F13"/>
    </sheetView>
  </sheetViews>
  <sheetFormatPr baseColWidth="10" defaultRowHeight="20.100000000000001" customHeight="1" x14ac:dyDescent="0.25"/>
  <cols>
    <col min="1" max="1" width="21.7109375" style="164" bestFit="1" customWidth="1"/>
    <col min="2" max="2" width="12.7109375" style="164" customWidth="1"/>
    <col min="3" max="3" width="12.28515625" style="164" customWidth="1"/>
    <col min="4" max="4" width="13.42578125" style="164" customWidth="1"/>
    <col min="5" max="5" width="14" style="164" customWidth="1"/>
    <col min="6" max="6" width="13.5703125" style="164" customWidth="1"/>
    <col min="7" max="16384" width="11.42578125" style="164"/>
  </cols>
  <sheetData>
    <row r="1" spans="1:6" ht="15" customHeight="1" x14ac:dyDescent="0.25">
      <c r="A1" s="163" t="s">
        <v>637</v>
      </c>
    </row>
    <row r="2" spans="1:6" ht="15" customHeight="1" x14ac:dyDescent="0.25">
      <c r="A2" s="163"/>
    </row>
    <row r="3" spans="1:6" ht="15" customHeight="1" x14ac:dyDescent="0.25">
      <c r="A3" s="163"/>
    </row>
    <row r="4" spans="1:6" ht="15" customHeight="1" x14ac:dyDescent="0.25">
      <c r="B4" s="165" t="s">
        <v>4</v>
      </c>
      <c r="C4" s="165" t="s">
        <v>5</v>
      </c>
      <c r="D4" s="166" t="s">
        <v>503</v>
      </c>
      <c r="E4" s="165" t="s">
        <v>504</v>
      </c>
      <c r="F4" s="165" t="s">
        <v>505</v>
      </c>
    </row>
    <row r="5" spans="1:6" ht="15" customHeight="1" x14ac:dyDescent="0.25">
      <c r="A5" s="167" t="s">
        <v>506</v>
      </c>
      <c r="B5" s="165">
        <v>15</v>
      </c>
      <c r="C5" s="165">
        <v>12</v>
      </c>
      <c r="D5" s="166">
        <f>B5+C5</f>
        <v>27</v>
      </c>
      <c r="E5" s="168">
        <f>B5/D5</f>
        <v>0.55555555555555558</v>
      </c>
      <c r="F5" s="168">
        <f>C5/D5</f>
        <v>0.44444444444444442</v>
      </c>
    </row>
    <row r="6" spans="1:6" ht="15" customHeight="1" x14ac:dyDescent="0.25">
      <c r="A6" s="167" t="s">
        <v>324</v>
      </c>
      <c r="B6" s="165">
        <v>134</v>
      </c>
      <c r="C6" s="165">
        <v>112</v>
      </c>
      <c r="D6" s="166">
        <f>B6+C6</f>
        <v>246</v>
      </c>
      <c r="E6" s="168">
        <f>B6/D6</f>
        <v>0.54471544715447151</v>
      </c>
      <c r="F6" s="168">
        <f>C6/D6</f>
        <v>0.45528455284552843</v>
      </c>
    </row>
    <row r="7" spans="1:6" ht="15" customHeight="1" x14ac:dyDescent="0.25">
      <c r="A7" s="169" t="s">
        <v>6</v>
      </c>
      <c r="B7" s="170">
        <f>SUM(B5:B6)</f>
        <v>149</v>
      </c>
      <c r="C7" s="170">
        <f>SUM(C5:C6)</f>
        <v>124</v>
      </c>
      <c r="D7" s="171">
        <f>SUM(D5:D6)</f>
        <v>273</v>
      </c>
      <c r="E7" s="172">
        <f>B7/D7</f>
        <v>0.54578754578754574</v>
      </c>
      <c r="F7" s="172">
        <f>C7/D7</f>
        <v>0.45421245421245421</v>
      </c>
    </row>
    <row r="8" spans="1:6" ht="15" customHeight="1" x14ac:dyDescent="0.25">
      <c r="A8" s="642"/>
      <c r="B8" s="643"/>
      <c r="C8" s="643"/>
      <c r="D8" s="643"/>
      <c r="E8" s="644"/>
      <c r="F8" s="644"/>
    </row>
    <row r="9" spans="1:6" ht="15" customHeight="1" x14ac:dyDescent="0.25">
      <c r="A9" s="164" t="s">
        <v>638</v>
      </c>
    </row>
    <row r="15" spans="1:6" ht="20.100000000000001" customHeight="1" x14ac:dyDescent="0.2">
      <c r="A15" s="2"/>
      <c r="B15" s="2"/>
      <c r="C15" s="2"/>
      <c r="D15" s="2"/>
    </row>
    <row r="16" spans="1:6" ht="20.100000000000001" customHeight="1" x14ac:dyDescent="0.2">
      <c r="A16" s="2"/>
      <c r="B16" s="2"/>
      <c r="C16" s="2"/>
      <c r="D16" s="2"/>
    </row>
    <row r="17" spans="1:4" ht="20.100000000000001" customHeight="1" x14ac:dyDescent="0.2">
      <c r="A17" s="173"/>
      <c r="B17" s="174"/>
      <c r="C17" s="174"/>
      <c r="D17" s="174"/>
    </row>
    <row r="18" spans="1:4" ht="20.100000000000001" customHeight="1" x14ac:dyDescent="0.2">
      <c r="A18" s="173"/>
      <c r="B18" s="174"/>
      <c r="C18" s="174"/>
      <c r="D18" s="174"/>
    </row>
    <row r="19" spans="1:4" ht="20.100000000000001" customHeight="1" x14ac:dyDescent="0.2">
      <c r="A19" s="173"/>
      <c r="B19" s="174"/>
      <c r="C19" s="174"/>
      <c r="D19" s="174"/>
    </row>
  </sheetData>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&amp;C&amp;8CNL/ETUDES ET SYNTHESES/ASM - 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A24" sqref="A1:XFD24"/>
    </sheetView>
  </sheetViews>
  <sheetFormatPr baseColWidth="10" defaultRowHeight="20.100000000000001" customHeight="1" x14ac:dyDescent="0.25"/>
  <cols>
    <col min="1" max="1" width="35" style="164" customWidth="1"/>
    <col min="2" max="6" width="12.140625" style="175" customWidth="1"/>
    <col min="7" max="16384" width="11.42578125" style="164"/>
  </cols>
  <sheetData>
    <row r="1" spans="1:6" ht="15" customHeight="1" x14ac:dyDescent="0.25">
      <c r="A1" s="163" t="s">
        <v>866</v>
      </c>
    </row>
    <row r="2" spans="1:6" ht="15" customHeight="1" x14ac:dyDescent="0.25"/>
    <row r="3" spans="1:6" ht="15" customHeight="1" x14ac:dyDescent="0.25">
      <c r="A3" s="176" t="s">
        <v>507</v>
      </c>
      <c r="B3" s="177" t="s">
        <v>4</v>
      </c>
      <c r="C3" s="177" t="s">
        <v>5</v>
      </c>
      <c r="D3" s="178" t="s">
        <v>6</v>
      </c>
      <c r="E3" s="177" t="s">
        <v>504</v>
      </c>
      <c r="F3" s="177" t="s">
        <v>505</v>
      </c>
    </row>
    <row r="4" spans="1:6" ht="15" customHeight="1" x14ac:dyDescent="0.25">
      <c r="A4" s="179" t="s">
        <v>508</v>
      </c>
      <c r="B4" s="180">
        <v>7</v>
      </c>
      <c r="C4" s="180">
        <v>10</v>
      </c>
      <c r="D4" s="181">
        <f>SUM(B4:C4)</f>
        <v>17</v>
      </c>
      <c r="E4" s="182">
        <f>B4/D4</f>
        <v>0.41176470588235292</v>
      </c>
      <c r="F4" s="182">
        <f>C4/D4</f>
        <v>0.58823529411764708</v>
      </c>
    </row>
    <row r="5" spans="1:6" ht="15" customHeight="1" x14ac:dyDescent="0.25">
      <c r="A5" s="183" t="s">
        <v>509</v>
      </c>
      <c r="B5" s="184">
        <v>6</v>
      </c>
      <c r="C5" s="184">
        <v>8</v>
      </c>
      <c r="D5" s="185">
        <f t="shared" ref="D5:D21" si="0">SUM(B5:C5)</f>
        <v>14</v>
      </c>
      <c r="E5" s="186">
        <f t="shared" ref="E5:E22" si="1">B5/D5</f>
        <v>0.42857142857142855</v>
      </c>
      <c r="F5" s="186">
        <f t="shared" ref="F5:F22" si="2">C5/D5</f>
        <v>0.5714285714285714</v>
      </c>
    </row>
    <row r="6" spans="1:6" ht="15" customHeight="1" x14ac:dyDescent="0.25">
      <c r="A6" s="183" t="s">
        <v>608</v>
      </c>
      <c r="B6" s="184">
        <v>11</v>
      </c>
      <c r="C6" s="184">
        <v>2</v>
      </c>
      <c r="D6" s="185">
        <f t="shared" si="0"/>
        <v>13</v>
      </c>
      <c r="E6" s="186">
        <f t="shared" si="1"/>
        <v>0.84615384615384615</v>
      </c>
      <c r="F6" s="186">
        <f t="shared" si="2"/>
        <v>0.15384615384615385</v>
      </c>
    </row>
    <row r="7" spans="1:6" ht="15" customHeight="1" x14ac:dyDescent="0.25">
      <c r="A7" s="183" t="s">
        <v>510</v>
      </c>
      <c r="B7" s="184">
        <v>2</v>
      </c>
      <c r="C7" s="184">
        <v>4</v>
      </c>
      <c r="D7" s="185">
        <f t="shared" si="0"/>
        <v>6</v>
      </c>
      <c r="E7" s="186">
        <f t="shared" si="1"/>
        <v>0.33333333333333331</v>
      </c>
      <c r="F7" s="186">
        <f t="shared" si="2"/>
        <v>0.66666666666666663</v>
      </c>
    </row>
    <row r="8" spans="1:6" ht="15" customHeight="1" x14ac:dyDescent="0.25">
      <c r="A8" s="183" t="s">
        <v>511</v>
      </c>
      <c r="B8" s="184">
        <v>7</v>
      </c>
      <c r="C8" s="184">
        <v>6</v>
      </c>
      <c r="D8" s="185">
        <f t="shared" si="0"/>
        <v>13</v>
      </c>
      <c r="E8" s="186">
        <f t="shared" si="1"/>
        <v>0.53846153846153844</v>
      </c>
      <c r="F8" s="186">
        <f t="shared" si="2"/>
        <v>0.46153846153846156</v>
      </c>
    </row>
    <row r="9" spans="1:6" ht="15" customHeight="1" x14ac:dyDescent="0.25">
      <c r="A9" s="183" t="s">
        <v>512</v>
      </c>
      <c r="B9" s="184">
        <v>18</v>
      </c>
      <c r="C9" s="184">
        <v>8</v>
      </c>
      <c r="D9" s="185">
        <f t="shared" si="0"/>
        <v>26</v>
      </c>
      <c r="E9" s="186">
        <f t="shared" si="1"/>
        <v>0.69230769230769229</v>
      </c>
      <c r="F9" s="186">
        <f t="shared" si="2"/>
        <v>0.30769230769230771</v>
      </c>
    </row>
    <row r="10" spans="1:6" ht="15" customHeight="1" x14ac:dyDescent="0.25">
      <c r="A10" s="183" t="s">
        <v>609</v>
      </c>
      <c r="B10" s="184">
        <v>9</v>
      </c>
      <c r="C10" s="184">
        <v>12</v>
      </c>
      <c r="D10" s="185">
        <f t="shared" si="0"/>
        <v>21</v>
      </c>
      <c r="E10" s="186">
        <f t="shared" si="1"/>
        <v>0.42857142857142855</v>
      </c>
      <c r="F10" s="186">
        <f t="shared" si="2"/>
        <v>0.5714285714285714</v>
      </c>
    </row>
    <row r="11" spans="1:6" ht="15" customHeight="1" x14ac:dyDescent="0.25">
      <c r="A11" s="183" t="s">
        <v>610</v>
      </c>
      <c r="B11" s="184">
        <v>10</v>
      </c>
      <c r="C11" s="184">
        <v>8</v>
      </c>
      <c r="D11" s="185">
        <f t="shared" si="0"/>
        <v>18</v>
      </c>
      <c r="E11" s="186">
        <f t="shared" si="1"/>
        <v>0.55555555555555558</v>
      </c>
      <c r="F11" s="186">
        <f t="shared" si="2"/>
        <v>0.44444444444444442</v>
      </c>
    </row>
    <row r="12" spans="1:6" ht="15" customHeight="1" x14ac:dyDescent="0.25">
      <c r="A12" s="183" t="s">
        <v>513</v>
      </c>
      <c r="B12" s="184">
        <v>8</v>
      </c>
      <c r="C12" s="184">
        <v>5</v>
      </c>
      <c r="D12" s="185">
        <f t="shared" si="0"/>
        <v>13</v>
      </c>
      <c r="E12" s="186">
        <f t="shared" si="1"/>
        <v>0.61538461538461542</v>
      </c>
      <c r="F12" s="186">
        <f t="shared" si="2"/>
        <v>0.38461538461538464</v>
      </c>
    </row>
    <row r="13" spans="1:6" ht="15" customHeight="1" x14ac:dyDescent="0.25">
      <c r="A13" s="183" t="s">
        <v>514</v>
      </c>
      <c r="B13" s="184">
        <v>9</v>
      </c>
      <c r="C13" s="184">
        <v>6</v>
      </c>
      <c r="D13" s="185">
        <f t="shared" si="0"/>
        <v>15</v>
      </c>
      <c r="E13" s="186">
        <f t="shared" si="1"/>
        <v>0.6</v>
      </c>
      <c r="F13" s="186">
        <f t="shared" si="2"/>
        <v>0.4</v>
      </c>
    </row>
    <row r="14" spans="1:6" ht="15" customHeight="1" x14ac:dyDescent="0.25">
      <c r="A14" s="183" t="s">
        <v>515</v>
      </c>
      <c r="B14" s="184">
        <v>8</v>
      </c>
      <c r="C14" s="184">
        <v>8</v>
      </c>
      <c r="D14" s="185">
        <f t="shared" si="0"/>
        <v>16</v>
      </c>
      <c r="E14" s="186">
        <f t="shared" si="1"/>
        <v>0.5</v>
      </c>
      <c r="F14" s="186">
        <f t="shared" si="2"/>
        <v>0.5</v>
      </c>
    </row>
    <row r="15" spans="1:6" ht="15" customHeight="1" x14ac:dyDescent="0.25">
      <c r="A15" s="183" t="s">
        <v>516</v>
      </c>
      <c r="B15" s="184">
        <v>6</v>
      </c>
      <c r="C15" s="184">
        <v>3</v>
      </c>
      <c r="D15" s="185">
        <f t="shared" si="0"/>
        <v>9</v>
      </c>
      <c r="E15" s="186">
        <f t="shared" si="1"/>
        <v>0.66666666666666663</v>
      </c>
      <c r="F15" s="186">
        <f t="shared" si="2"/>
        <v>0.33333333333333331</v>
      </c>
    </row>
    <row r="16" spans="1:6" ht="15" customHeight="1" x14ac:dyDescent="0.25">
      <c r="A16" s="183" t="s">
        <v>517</v>
      </c>
      <c r="B16" s="184">
        <v>10</v>
      </c>
      <c r="C16" s="184">
        <v>8</v>
      </c>
      <c r="D16" s="185">
        <f t="shared" si="0"/>
        <v>18</v>
      </c>
      <c r="E16" s="186">
        <f t="shared" si="1"/>
        <v>0.55555555555555558</v>
      </c>
      <c r="F16" s="186">
        <f t="shared" si="2"/>
        <v>0.44444444444444442</v>
      </c>
    </row>
    <row r="17" spans="1:6" ht="15" customHeight="1" x14ac:dyDescent="0.25">
      <c r="A17" s="183" t="s">
        <v>518</v>
      </c>
      <c r="B17" s="184">
        <v>8</v>
      </c>
      <c r="C17" s="184">
        <v>10</v>
      </c>
      <c r="D17" s="185">
        <f t="shared" si="0"/>
        <v>18</v>
      </c>
      <c r="E17" s="186">
        <f t="shared" si="1"/>
        <v>0.44444444444444442</v>
      </c>
      <c r="F17" s="186">
        <f t="shared" si="2"/>
        <v>0.55555555555555558</v>
      </c>
    </row>
    <row r="18" spans="1:6" ht="15" customHeight="1" x14ac:dyDescent="0.25">
      <c r="A18" s="183" t="s">
        <v>519</v>
      </c>
      <c r="B18" s="184">
        <v>8</v>
      </c>
      <c r="C18" s="184">
        <v>6</v>
      </c>
      <c r="D18" s="185">
        <f t="shared" si="0"/>
        <v>14</v>
      </c>
      <c r="E18" s="186">
        <f t="shared" si="1"/>
        <v>0.5714285714285714</v>
      </c>
      <c r="F18" s="186">
        <f t="shared" si="2"/>
        <v>0.42857142857142855</v>
      </c>
    </row>
    <row r="19" spans="1:6" ht="15" customHeight="1" x14ac:dyDescent="0.25">
      <c r="A19" s="183" t="s">
        <v>520</v>
      </c>
      <c r="B19" s="184">
        <v>9</v>
      </c>
      <c r="C19" s="184">
        <v>8</v>
      </c>
      <c r="D19" s="185">
        <f t="shared" si="0"/>
        <v>17</v>
      </c>
      <c r="E19" s="186">
        <f t="shared" si="1"/>
        <v>0.52941176470588236</v>
      </c>
      <c r="F19" s="186">
        <f t="shared" si="2"/>
        <v>0.47058823529411764</v>
      </c>
    </row>
    <row r="20" spans="1:6" ht="15" customHeight="1" x14ac:dyDescent="0.25">
      <c r="A20" s="183" t="s">
        <v>521</v>
      </c>
      <c r="B20" s="184">
        <v>4</v>
      </c>
      <c r="C20" s="184">
        <v>6</v>
      </c>
      <c r="D20" s="185">
        <f t="shared" si="0"/>
        <v>10</v>
      </c>
      <c r="E20" s="186">
        <f t="shared" si="1"/>
        <v>0.4</v>
      </c>
      <c r="F20" s="186">
        <f t="shared" si="2"/>
        <v>0.6</v>
      </c>
    </row>
    <row r="21" spans="1:6" ht="15" customHeight="1" x14ac:dyDescent="0.25">
      <c r="A21" s="187" t="s">
        <v>522</v>
      </c>
      <c r="B21" s="188">
        <v>9</v>
      </c>
      <c r="C21" s="188">
        <v>6</v>
      </c>
      <c r="D21" s="189">
        <f t="shared" si="0"/>
        <v>15</v>
      </c>
      <c r="E21" s="190">
        <f t="shared" si="1"/>
        <v>0.6</v>
      </c>
      <c r="F21" s="190">
        <f t="shared" si="2"/>
        <v>0.4</v>
      </c>
    </row>
    <row r="22" spans="1:6" ht="15" customHeight="1" x14ac:dyDescent="0.25">
      <c r="A22" s="191" t="s">
        <v>523</v>
      </c>
      <c r="B22" s="192">
        <f>SUM(B4:B21)</f>
        <v>149</v>
      </c>
      <c r="C22" s="192">
        <f>SUM(C4:C21)</f>
        <v>124</v>
      </c>
      <c r="D22" s="193">
        <f>SUM(D4:D21)</f>
        <v>273</v>
      </c>
      <c r="E22" s="194">
        <f t="shared" si="1"/>
        <v>0.54578754578754574</v>
      </c>
      <c r="F22" s="194">
        <f t="shared" si="2"/>
        <v>0.45421245421245421</v>
      </c>
    </row>
    <row r="23" spans="1:6" ht="15" customHeight="1" x14ac:dyDescent="0.25">
      <c r="A23" s="642"/>
      <c r="B23" s="643"/>
      <c r="C23" s="643"/>
      <c r="D23" s="643"/>
      <c r="E23" s="644"/>
      <c r="F23" s="644"/>
    </row>
    <row r="24" spans="1:6" ht="15" customHeight="1" x14ac:dyDescent="0.25">
      <c r="A24" s="164" t="s">
        <v>639</v>
      </c>
      <c r="F24" s="164"/>
    </row>
  </sheetData>
  <printOptions horizontalCentered="1"/>
  <pageMargins left="0.39370078740157483" right="0.39370078740157483" top="0.98425196850393704" bottom="0.98425196850393704" header="0.51181102362204722" footer="0.51181102362204722"/>
  <pageSetup paperSize="9" scale="90" orientation="portrait" r:id="rId1"/>
  <headerFooter alignWithMargins="0">
    <oddFooter>&amp;C&amp;8CNL/ETUDES ET SYNTHESES/ASM - 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zoomScaleNormal="100" workbookViewId="0">
      <selection activeCell="A8" sqref="A8"/>
    </sheetView>
  </sheetViews>
  <sheetFormatPr baseColWidth="10" defaultColWidth="9.140625" defaultRowHeight="11.25" x14ac:dyDescent="0.2"/>
  <cols>
    <col min="1" max="1" width="26.140625" style="20" customWidth="1"/>
    <col min="2" max="2" width="11.7109375" style="20" customWidth="1"/>
    <col min="3" max="10" width="9.140625" style="20"/>
    <col min="11" max="11" width="10" style="20" customWidth="1"/>
    <col min="12" max="16384" width="9.140625" style="20"/>
  </cols>
  <sheetData>
    <row r="1" spans="1:16" x14ac:dyDescent="0.2">
      <c r="A1" s="19" t="s">
        <v>791</v>
      </c>
      <c r="B1" s="19"/>
    </row>
    <row r="2" spans="1:16" x14ac:dyDescent="0.2">
      <c r="A2" s="19"/>
      <c r="B2" s="19"/>
    </row>
    <row r="3" spans="1:16" x14ac:dyDescent="0.2">
      <c r="B3" s="691" t="s">
        <v>902</v>
      </c>
      <c r="C3" s="691"/>
      <c r="D3" s="691"/>
      <c r="E3" s="691"/>
      <c r="F3" s="691" t="s">
        <v>651</v>
      </c>
      <c r="G3" s="691"/>
      <c r="H3" s="691"/>
      <c r="I3" s="691"/>
      <c r="J3" s="691" t="s">
        <v>652</v>
      </c>
      <c r="K3" s="691"/>
      <c r="L3" s="691"/>
      <c r="M3" s="691"/>
      <c r="N3" s="19" t="s">
        <v>653</v>
      </c>
      <c r="O3" s="19" t="s">
        <v>654</v>
      </c>
      <c r="P3" s="19" t="s">
        <v>655</v>
      </c>
    </row>
    <row r="4" spans="1:16" x14ac:dyDescent="0.2">
      <c r="B4" s="19" t="s">
        <v>4</v>
      </c>
      <c r="C4" s="19" t="s">
        <v>5</v>
      </c>
      <c r="D4" s="19" t="s">
        <v>6</v>
      </c>
      <c r="E4" s="204" t="s">
        <v>7</v>
      </c>
      <c r="F4" s="19" t="s">
        <v>4</v>
      </c>
      <c r="G4" s="19" t="s">
        <v>5</v>
      </c>
      <c r="H4" s="19" t="s">
        <v>6</v>
      </c>
      <c r="I4" s="204" t="s">
        <v>7</v>
      </c>
      <c r="J4" s="19" t="s">
        <v>4</v>
      </c>
      <c r="K4" s="19" t="s">
        <v>5</v>
      </c>
      <c r="L4" s="19" t="s">
        <v>6</v>
      </c>
      <c r="M4" s="204" t="s">
        <v>7</v>
      </c>
      <c r="N4" s="21" t="s">
        <v>7</v>
      </c>
      <c r="O4" s="21" t="s">
        <v>7</v>
      </c>
      <c r="P4" s="21" t="s">
        <v>7</v>
      </c>
    </row>
    <row r="5" spans="1:16" x14ac:dyDescent="0.2">
      <c r="A5" s="19" t="s">
        <v>792</v>
      </c>
      <c r="B5" s="20">
        <v>8</v>
      </c>
      <c r="C5" s="20">
        <v>12</v>
      </c>
      <c r="D5" s="19">
        <v>20</v>
      </c>
      <c r="E5" s="105">
        <f>B5/(B5+C5)</f>
        <v>0.4</v>
      </c>
      <c r="F5" s="505">
        <v>6</v>
      </c>
      <c r="G5" s="505">
        <v>11</v>
      </c>
      <c r="H5" s="505">
        <v>17</v>
      </c>
      <c r="I5" s="233">
        <v>0.35</v>
      </c>
      <c r="J5" s="20">
        <v>6</v>
      </c>
      <c r="K5" s="20">
        <v>14</v>
      </c>
      <c r="L5" s="19">
        <v>20</v>
      </c>
      <c r="M5" s="105">
        <f>J5/(J5+K5)</f>
        <v>0.3</v>
      </c>
      <c r="N5" s="36">
        <v>0.3</v>
      </c>
      <c r="O5" s="36">
        <v>0.32</v>
      </c>
      <c r="P5" s="36">
        <v>0.28000000000000003</v>
      </c>
    </row>
    <row r="6" spans="1:16" x14ac:dyDescent="0.2">
      <c r="A6" s="20" t="s">
        <v>793</v>
      </c>
    </row>
    <row r="8" spans="1:16" x14ac:dyDescent="0.2">
      <c r="A8" s="20" t="s">
        <v>864</v>
      </c>
    </row>
    <row r="17" spans="11:11" x14ac:dyDescent="0.2">
      <c r="K17" s="20" t="s">
        <v>794</v>
      </c>
    </row>
  </sheetData>
  <mergeCells count="3">
    <mergeCell ref="B3:E3"/>
    <mergeCell ref="J3:M3"/>
    <mergeCell ref="F3:I3"/>
  </mergeCells>
  <pageMargins left="0.78740157480314965" right="0.78740157480314965" top="1.0236220472440944" bottom="1.0236220472440944" header="0.78740157480314965" footer="0.78740157480314965"/>
  <pageSetup paperSize="9" scale="78" firstPageNumber="0" orientation="landscape" r:id="rId1"/>
  <headerFooter>
    <oddHeader>&amp;C&amp;"Arial,Normal"&amp;10&amp;A</oddHeader>
    <oddFooter>&amp;C&amp;"Arial,Normal"&amp;10Page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opLeftCell="A34" zoomScale="106" zoomScaleNormal="106" workbookViewId="0">
      <selection activeCell="A56" sqref="A56:B56"/>
    </sheetView>
  </sheetViews>
  <sheetFormatPr baseColWidth="10" defaultColWidth="9.140625" defaultRowHeight="11.25" x14ac:dyDescent="0.2"/>
  <cols>
    <col min="1" max="1" width="35.28515625" style="20" customWidth="1"/>
    <col min="2" max="2" width="46.85546875" style="20" bestFit="1" customWidth="1"/>
    <col min="3" max="10" width="9.140625" style="20"/>
    <col min="11" max="11" width="9.7109375" style="20" customWidth="1"/>
    <col min="12" max="12" width="10.7109375" style="20" bestFit="1" customWidth="1"/>
    <col min="13" max="13" width="11.42578125" style="20" bestFit="1" customWidth="1"/>
    <col min="14" max="16384" width="9.140625" style="20"/>
  </cols>
  <sheetData>
    <row r="1" spans="1:13" x14ac:dyDescent="0.2">
      <c r="A1" s="19" t="s">
        <v>677</v>
      </c>
    </row>
    <row r="2" spans="1:13" x14ac:dyDescent="0.2">
      <c r="A2" s="19"/>
    </row>
    <row r="3" spans="1:13" x14ac:dyDescent="0.2">
      <c r="A3" s="691" t="s">
        <v>678</v>
      </c>
      <c r="B3" s="691"/>
      <c r="C3" s="691"/>
      <c r="D3" s="691" t="s">
        <v>4</v>
      </c>
      <c r="E3" s="691"/>
      <c r="F3" s="691" t="s">
        <v>5</v>
      </c>
      <c r="G3" s="691"/>
    </row>
    <row r="4" spans="1:13" ht="90.75" customHeight="1" x14ac:dyDescent="0.2">
      <c r="A4" s="19" t="s">
        <v>679</v>
      </c>
      <c r="B4" s="19" t="s">
        <v>680</v>
      </c>
      <c r="C4" s="654" t="s">
        <v>468</v>
      </c>
      <c r="D4" s="654" t="s">
        <v>681</v>
      </c>
      <c r="E4" s="655" t="s">
        <v>682</v>
      </c>
      <c r="F4" s="654" t="s">
        <v>681</v>
      </c>
      <c r="G4" s="655" t="s">
        <v>682</v>
      </c>
      <c r="H4" s="654" t="s">
        <v>683</v>
      </c>
      <c r="I4" s="655" t="s">
        <v>684</v>
      </c>
      <c r="J4" s="655" t="s">
        <v>685</v>
      </c>
      <c r="K4" s="656"/>
      <c r="L4" s="657" t="s">
        <v>686</v>
      </c>
      <c r="M4" s="657" t="s">
        <v>687</v>
      </c>
    </row>
    <row r="5" spans="1:13" ht="12" thickBot="1" x14ac:dyDescent="0.25">
      <c r="A5" s="19"/>
      <c r="B5" s="19"/>
      <c r="C5" s="421"/>
    </row>
    <row r="6" spans="1:13" ht="12" thickBot="1" x14ac:dyDescent="0.25">
      <c r="A6" s="731" t="s">
        <v>688</v>
      </c>
      <c r="B6" s="20" t="s">
        <v>689</v>
      </c>
      <c r="C6" s="207" t="s">
        <v>690</v>
      </c>
      <c r="D6" s="645">
        <v>874</v>
      </c>
      <c r="E6" s="646">
        <v>34783</v>
      </c>
      <c r="F6" s="647">
        <v>851</v>
      </c>
      <c r="G6" s="646">
        <v>35274</v>
      </c>
      <c r="H6" s="648">
        <v>40</v>
      </c>
      <c r="I6" s="649">
        <f>L6/H6</f>
        <v>0.42499999999999999</v>
      </c>
      <c r="J6" s="230">
        <f t="shared" ref="J6:J13" si="0">(E6/D6)/(G6/F6)</f>
        <v>0.96013091497241143</v>
      </c>
      <c r="L6" s="20">
        <v>17</v>
      </c>
      <c r="M6" s="20">
        <f>H6-L6</f>
        <v>23</v>
      </c>
    </row>
    <row r="7" spans="1:13" ht="12" thickBot="1" x14ac:dyDescent="0.25">
      <c r="A7" s="731"/>
      <c r="B7" s="20" t="s">
        <v>691</v>
      </c>
      <c r="C7" s="207" t="s">
        <v>690</v>
      </c>
      <c r="D7" s="645">
        <v>590</v>
      </c>
      <c r="E7" s="646">
        <v>13293</v>
      </c>
      <c r="F7" s="647">
        <v>612</v>
      </c>
      <c r="G7" s="646">
        <v>14391</v>
      </c>
      <c r="H7" s="648">
        <v>568</v>
      </c>
      <c r="I7" s="649">
        <f t="shared" ref="I7:I37" si="1">L7/H7</f>
        <v>0.64964788732394363</v>
      </c>
      <c r="J7" s="230">
        <f t="shared" si="0"/>
        <v>0.95814545107641436</v>
      </c>
      <c r="L7" s="20">
        <v>369</v>
      </c>
      <c r="M7" s="20">
        <f t="shared" ref="M7:M37" si="2">H7-L7</f>
        <v>199</v>
      </c>
    </row>
    <row r="8" spans="1:13" ht="12" thickBot="1" x14ac:dyDescent="0.25">
      <c r="A8" s="731"/>
      <c r="B8" s="20" t="s">
        <v>692</v>
      </c>
      <c r="C8" s="207" t="s">
        <v>690</v>
      </c>
      <c r="D8" s="645">
        <v>996</v>
      </c>
      <c r="E8" s="646">
        <v>38194</v>
      </c>
      <c r="F8" s="647">
        <v>971</v>
      </c>
      <c r="G8" s="646">
        <v>38014</v>
      </c>
      <c r="H8" s="648">
        <v>96</v>
      </c>
      <c r="I8" s="649">
        <f t="shared" si="1"/>
        <v>0.3125</v>
      </c>
      <c r="J8" s="230">
        <f t="shared" si="0"/>
        <v>0.9795158431379013</v>
      </c>
      <c r="L8" s="20">
        <v>30</v>
      </c>
      <c r="M8" s="20">
        <f t="shared" si="2"/>
        <v>66</v>
      </c>
    </row>
    <row r="9" spans="1:13" ht="12" thickBot="1" x14ac:dyDescent="0.25">
      <c r="A9" s="731"/>
      <c r="B9" s="20" t="s">
        <v>693</v>
      </c>
      <c r="C9" s="207" t="s">
        <v>690</v>
      </c>
      <c r="D9" s="645">
        <v>544</v>
      </c>
      <c r="E9" s="646">
        <v>5258</v>
      </c>
      <c r="F9" s="647"/>
      <c r="G9" s="646"/>
      <c r="H9" s="648">
        <v>2</v>
      </c>
      <c r="I9" s="649">
        <f t="shared" si="1"/>
        <v>1</v>
      </c>
      <c r="J9" s="230"/>
      <c r="L9" s="20">
        <v>2</v>
      </c>
      <c r="M9" s="20">
        <f t="shared" si="2"/>
        <v>0</v>
      </c>
    </row>
    <row r="10" spans="1:13" ht="12" thickBot="1" x14ac:dyDescent="0.25">
      <c r="A10" s="731"/>
      <c r="B10" s="20" t="s">
        <v>694</v>
      </c>
      <c r="C10" s="207" t="s">
        <v>690</v>
      </c>
      <c r="D10" s="645">
        <v>673</v>
      </c>
      <c r="E10" s="646">
        <v>10028</v>
      </c>
      <c r="F10" s="647">
        <v>686</v>
      </c>
      <c r="G10" s="646">
        <v>10561</v>
      </c>
      <c r="H10" s="648">
        <v>165</v>
      </c>
      <c r="I10" s="649">
        <f t="shared" si="1"/>
        <v>0.6</v>
      </c>
      <c r="J10" s="230">
        <f t="shared" si="0"/>
        <v>0.96787290928396874</v>
      </c>
      <c r="L10" s="20">
        <v>99</v>
      </c>
      <c r="M10" s="20">
        <f t="shared" si="2"/>
        <v>66</v>
      </c>
    </row>
    <row r="11" spans="1:13" ht="12" thickBot="1" x14ac:dyDescent="0.25">
      <c r="A11" s="731"/>
      <c r="B11" s="20" t="s">
        <v>695</v>
      </c>
      <c r="C11" s="207" t="s">
        <v>690</v>
      </c>
      <c r="D11" s="645">
        <v>1165</v>
      </c>
      <c r="E11" s="646">
        <v>41554</v>
      </c>
      <c r="F11" s="647">
        <v>1209</v>
      </c>
      <c r="G11" s="646">
        <v>42648</v>
      </c>
      <c r="H11" s="648">
        <v>22</v>
      </c>
      <c r="I11" s="649">
        <f t="shared" si="1"/>
        <v>0.5</v>
      </c>
      <c r="J11" s="230">
        <f t="shared" si="0"/>
        <v>1.0111475675114301</v>
      </c>
      <c r="L11" s="20">
        <v>11</v>
      </c>
      <c r="M11" s="20">
        <f t="shared" si="2"/>
        <v>11</v>
      </c>
    </row>
    <row r="12" spans="1:13" ht="12" thickBot="1" x14ac:dyDescent="0.25">
      <c r="A12" s="731"/>
      <c r="B12" s="20" t="s">
        <v>696</v>
      </c>
      <c r="C12" s="207" t="s">
        <v>697</v>
      </c>
      <c r="D12" s="645">
        <v>441</v>
      </c>
      <c r="E12" s="646">
        <v>5478</v>
      </c>
      <c r="F12" s="647">
        <v>436</v>
      </c>
      <c r="G12" s="646">
        <v>5437</v>
      </c>
      <c r="H12" s="648">
        <v>739</v>
      </c>
      <c r="I12" s="649">
        <f t="shared" si="1"/>
        <v>0.79702300405953996</v>
      </c>
      <c r="J12" s="230">
        <f t="shared" si="0"/>
        <v>0.99611755682593062</v>
      </c>
      <c r="L12" s="20">
        <v>589</v>
      </c>
      <c r="M12" s="20">
        <f t="shared" si="2"/>
        <v>150</v>
      </c>
    </row>
    <row r="13" spans="1:13" ht="12" thickBot="1" x14ac:dyDescent="0.25">
      <c r="A13" s="731"/>
      <c r="B13" s="20" t="s">
        <v>698</v>
      </c>
      <c r="C13" s="207" t="s">
        <v>699</v>
      </c>
      <c r="D13" s="645">
        <v>386</v>
      </c>
      <c r="E13" s="646">
        <v>4403</v>
      </c>
      <c r="F13" s="647">
        <v>374</v>
      </c>
      <c r="G13" s="646">
        <v>4387</v>
      </c>
      <c r="H13" s="648">
        <v>1171</v>
      </c>
      <c r="I13" s="649">
        <f t="shared" si="1"/>
        <v>0.85482493595217768</v>
      </c>
      <c r="J13" s="230">
        <f t="shared" si="0"/>
        <v>0.97244567380543778</v>
      </c>
      <c r="L13" s="20">
        <v>1001</v>
      </c>
      <c r="M13" s="20">
        <f t="shared" si="2"/>
        <v>170</v>
      </c>
    </row>
    <row r="14" spans="1:13" ht="12" thickBot="1" x14ac:dyDescent="0.25">
      <c r="A14" s="19"/>
      <c r="C14" s="207"/>
      <c r="D14" s="467"/>
      <c r="E14" s="467"/>
      <c r="F14" s="467"/>
      <c r="G14" s="467"/>
      <c r="H14" s="650"/>
      <c r="I14" s="649"/>
      <c r="J14" s="230"/>
    </row>
    <row r="15" spans="1:13" ht="12" thickBot="1" x14ac:dyDescent="0.25">
      <c r="A15" s="731" t="s">
        <v>700</v>
      </c>
      <c r="B15" s="20" t="s">
        <v>701</v>
      </c>
      <c r="C15" s="207" t="s">
        <v>690</v>
      </c>
      <c r="D15" s="645">
        <v>707</v>
      </c>
      <c r="E15" s="646">
        <v>15936</v>
      </c>
      <c r="F15" s="647">
        <v>813</v>
      </c>
      <c r="G15" s="646">
        <v>19209</v>
      </c>
      <c r="H15" s="648">
        <v>236</v>
      </c>
      <c r="I15" s="649">
        <f t="shared" si="1"/>
        <v>0.45338983050847459</v>
      </c>
      <c r="J15" s="230">
        <f t="shared" ref="J15:J27" si="3">(E15/D15)/(G15/F15)</f>
        <v>0.95399411653086053</v>
      </c>
      <c r="L15" s="20">
        <v>107</v>
      </c>
      <c r="M15" s="20">
        <f t="shared" si="2"/>
        <v>129</v>
      </c>
    </row>
    <row r="16" spans="1:13" ht="12" thickBot="1" x14ac:dyDescent="0.25">
      <c r="A16" s="731"/>
      <c r="B16" s="20" t="s">
        <v>702</v>
      </c>
      <c r="C16" s="207" t="s">
        <v>690</v>
      </c>
      <c r="D16" s="645">
        <v>504</v>
      </c>
      <c r="E16" s="646">
        <v>3874</v>
      </c>
      <c r="F16" s="647">
        <v>519</v>
      </c>
      <c r="G16" s="646">
        <v>4014</v>
      </c>
      <c r="H16" s="648">
        <v>40</v>
      </c>
      <c r="I16" s="649">
        <f t="shared" si="1"/>
        <v>0.67500000000000004</v>
      </c>
      <c r="J16" s="230">
        <f t="shared" si="3"/>
        <v>0.99384594395805159</v>
      </c>
      <c r="L16" s="20">
        <v>27</v>
      </c>
      <c r="M16" s="20">
        <f t="shared" si="2"/>
        <v>13</v>
      </c>
    </row>
    <row r="17" spans="1:13" ht="12" thickBot="1" x14ac:dyDescent="0.25">
      <c r="A17" s="731"/>
      <c r="B17" s="20" t="s">
        <v>703</v>
      </c>
      <c r="C17" s="207" t="s">
        <v>690</v>
      </c>
      <c r="D17" s="645">
        <v>547</v>
      </c>
      <c r="E17" s="646">
        <v>5433</v>
      </c>
      <c r="F17" s="647">
        <v>520</v>
      </c>
      <c r="G17" s="646">
        <v>5897</v>
      </c>
      <c r="H17" s="648">
        <v>38</v>
      </c>
      <c r="I17" s="649">
        <f t="shared" si="1"/>
        <v>0.78947368421052633</v>
      </c>
      <c r="J17" s="230">
        <f t="shared" si="3"/>
        <v>0.87583963462969894</v>
      </c>
      <c r="L17" s="20">
        <v>30</v>
      </c>
      <c r="M17" s="20">
        <f t="shared" si="2"/>
        <v>8</v>
      </c>
    </row>
    <row r="18" spans="1:13" ht="12" thickBot="1" x14ac:dyDescent="0.25">
      <c r="A18" s="731"/>
      <c r="B18" s="20" t="s">
        <v>704</v>
      </c>
      <c r="C18" s="207" t="s">
        <v>690</v>
      </c>
      <c r="D18" s="645">
        <v>572</v>
      </c>
      <c r="E18" s="646">
        <v>6613</v>
      </c>
      <c r="F18" s="647">
        <v>587</v>
      </c>
      <c r="G18" s="646">
        <v>6830</v>
      </c>
      <c r="H18" s="648">
        <v>352</v>
      </c>
      <c r="I18" s="649">
        <f t="shared" si="1"/>
        <v>0.75284090909090906</v>
      </c>
      <c r="J18" s="230">
        <f t="shared" si="3"/>
        <v>0.99361900910217171</v>
      </c>
      <c r="L18" s="20">
        <v>265</v>
      </c>
      <c r="M18" s="20">
        <f t="shared" si="2"/>
        <v>87</v>
      </c>
    </row>
    <row r="19" spans="1:13" ht="12" thickBot="1" x14ac:dyDescent="0.25">
      <c r="A19" s="731"/>
      <c r="B19" s="20" t="s">
        <v>705</v>
      </c>
      <c r="C19" s="207" t="s">
        <v>690</v>
      </c>
      <c r="D19" s="645">
        <v>1115</v>
      </c>
      <c r="E19" s="646">
        <v>10949</v>
      </c>
      <c r="F19" s="647">
        <v>1115</v>
      </c>
      <c r="G19" s="646">
        <v>10092</v>
      </c>
      <c r="H19" s="648">
        <v>35</v>
      </c>
      <c r="I19" s="649">
        <f t="shared" si="1"/>
        <v>0.54285714285714282</v>
      </c>
      <c r="J19" s="230">
        <f t="shared" si="3"/>
        <v>1.0849187475227904</v>
      </c>
      <c r="L19" s="20">
        <v>19</v>
      </c>
      <c r="M19" s="20">
        <f t="shared" si="2"/>
        <v>16</v>
      </c>
    </row>
    <row r="20" spans="1:13" ht="12" thickBot="1" x14ac:dyDescent="0.25">
      <c r="A20" s="731"/>
      <c r="B20" s="20" t="s">
        <v>706</v>
      </c>
      <c r="C20" s="207" t="s">
        <v>690</v>
      </c>
      <c r="D20" s="645">
        <v>756</v>
      </c>
      <c r="E20" s="646">
        <v>6880</v>
      </c>
      <c r="F20" s="647">
        <v>745</v>
      </c>
      <c r="G20" s="646">
        <v>7133</v>
      </c>
      <c r="H20" s="648">
        <v>145</v>
      </c>
      <c r="I20" s="649">
        <f t="shared" si="1"/>
        <v>0.64827586206896548</v>
      </c>
      <c r="J20" s="230">
        <f t="shared" si="3"/>
        <v>0.95049687086698176</v>
      </c>
      <c r="L20" s="20">
        <v>94</v>
      </c>
      <c r="M20" s="20">
        <f t="shared" si="2"/>
        <v>51</v>
      </c>
    </row>
    <row r="21" spans="1:13" ht="12" thickBot="1" x14ac:dyDescent="0.25">
      <c r="A21" s="731"/>
      <c r="B21" s="20" t="s">
        <v>707</v>
      </c>
      <c r="C21" s="207" t="s">
        <v>690</v>
      </c>
      <c r="D21" s="645">
        <v>731</v>
      </c>
      <c r="E21" s="646">
        <v>7984</v>
      </c>
      <c r="F21" s="647">
        <v>830</v>
      </c>
      <c r="G21" s="646">
        <v>9684</v>
      </c>
      <c r="H21" s="648">
        <v>665</v>
      </c>
      <c r="I21" s="649">
        <f t="shared" si="1"/>
        <v>0.55488721804511276</v>
      </c>
      <c r="J21" s="230">
        <f t="shared" si="3"/>
        <v>0.93610909105292206</v>
      </c>
      <c r="L21" s="20">
        <v>369</v>
      </c>
      <c r="M21" s="20">
        <f t="shared" si="2"/>
        <v>296</v>
      </c>
    </row>
    <row r="22" spans="1:13" ht="12" thickBot="1" x14ac:dyDescent="0.25">
      <c r="A22" s="731"/>
      <c r="B22" s="20" t="s">
        <v>708</v>
      </c>
      <c r="C22" s="207" t="s">
        <v>690</v>
      </c>
      <c r="D22" s="645">
        <v>738</v>
      </c>
      <c r="E22" s="646">
        <v>7080</v>
      </c>
      <c r="F22" s="647">
        <v>765</v>
      </c>
      <c r="G22" s="646">
        <v>7413</v>
      </c>
      <c r="H22" s="648">
        <v>71</v>
      </c>
      <c r="I22" s="649">
        <f t="shared" si="1"/>
        <v>0.54929577464788737</v>
      </c>
      <c r="J22" s="230">
        <f t="shared" si="3"/>
        <v>0.99002082695857319</v>
      </c>
      <c r="L22" s="20">
        <v>39</v>
      </c>
      <c r="M22" s="20">
        <f t="shared" si="2"/>
        <v>32</v>
      </c>
    </row>
    <row r="23" spans="1:13" ht="12" thickBot="1" x14ac:dyDescent="0.25">
      <c r="A23" s="731"/>
      <c r="B23" s="20" t="s">
        <v>709</v>
      </c>
      <c r="C23" s="207" t="s">
        <v>690</v>
      </c>
      <c r="D23" s="645">
        <v>611</v>
      </c>
      <c r="E23" s="646">
        <v>5288</v>
      </c>
      <c r="F23" s="647">
        <v>620</v>
      </c>
      <c r="G23" s="646">
        <v>5106</v>
      </c>
      <c r="H23" s="648">
        <v>172</v>
      </c>
      <c r="I23" s="649">
        <f t="shared" si="1"/>
        <v>0.52325581395348841</v>
      </c>
      <c r="J23" s="230">
        <f t="shared" si="3"/>
        <v>1.0508993302702829</v>
      </c>
      <c r="L23" s="20">
        <v>90</v>
      </c>
      <c r="M23" s="20">
        <f t="shared" si="2"/>
        <v>82</v>
      </c>
    </row>
    <row r="24" spans="1:13" ht="12" thickBot="1" x14ac:dyDescent="0.25">
      <c r="A24" s="731"/>
      <c r="B24" s="20" t="s">
        <v>710</v>
      </c>
      <c r="C24" s="207" t="s">
        <v>697</v>
      </c>
      <c r="D24" s="645">
        <v>504</v>
      </c>
      <c r="E24" s="646">
        <v>3657</v>
      </c>
      <c r="F24" s="647">
        <v>444</v>
      </c>
      <c r="G24" s="646">
        <v>4012</v>
      </c>
      <c r="H24" s="648">
        <v>51</v>
      </c>
      <c r="I24" s="649">
        <f t="shared" si="1"/>
        <v>0.62745098039215685</v>
      </c>
      <c r="J24" s="230">
        <f t="shared" si="3"/>
        <v>0.80300170915823965</v>
      </c>
      <c r="L24" s="20">
        <v>32</v>
      </c>
      <c r="M24" s="20">
        <f t="shared" si="2"/>
        <v>19</v>
      </c>
    </row>
    <row r="25" spans="1:13" ht="12" thickBot="1" x14ac:dyDescent="0.25">
      <c r="A25" s="731"/>
      <c r="B25" s="20" t="s">
        <v>711</v>
      </c>
      <c r="C25" s="207" t="s">
        <v>697</v>
      </c>
      <c r="D25" s="645">
        <v>428</v>
      </c>
      <c r="E25" s="646">
        <v>4113</v>
      </c>
      <c r="F25" s="647">
        <v>446</v>
      </c>
      <c r="G25" s="646">
        <v>4269</v>
      </c>
      <c r="H25" s="648">
        <v>188</v>
      </c>
      <c r="I25" s="649">
        <f t="shared" si="1"/>
        <v>0.72872340425531912</v>
      </c>
      <c r="J25" s="230">
        <f t="shared" si="3"/>
        <v>1.0039767241775635</v>
      </c>
      <c r="L25" s="20">
        <v>137</v>
      </c>
      <c r="M25" s="20">
        <f t="shared" si="2"/>
        <v>51</v>
      </c>
    </row>
    <row r="26" spans="1:13" ht="12" thickBot="1" x14ac:dyDescent="0.25">
      <c r="A26" s="731"/>
      <c r="B26" s="20" t="s">
        <v>712</v>
      </c>
      <c r="C26" s="207" t="s">
        <v>697</v>
      </c>
      <c r="D26" s="645">
        <v>487</v>
      </c>
      <c r="E26" s="646">
        <v>3641</v>
      </c>
      <c r="F26" s="647">
        <v>500</v>
      </c>
      <c r="G26" s="646">
        <v>3839</v>
      </c>
      <c r="H26" s="648">
        <v>62</v>
      </c>
      <c r="I26" s="649">
        <f t="shared" si="1"/>
        <v>0.38709677419354838</v>
      </c>
      <c r="J26" s="230">
        <f t="shared" si="3"/>
        <v>0.97374134370421805</v>
      </c>
      <c r="L26" s="20">
        <v>24</v>
      </c>
      <c r="M26" s="20">
        <f t="shared" si="2"/>
        <v>38</v>
      </c>
    </row>
    <row r="27" spans="1:13" ht="12" thickBot="1" x14ac:dyDescent="0.25">
      <c r="A27" s="731"/>
      <c r="B27" s="20" t="s">
        <v>713</v>
      </c>
      <c r="C27" s="207" t="s">
        <v>699</v>
      </c>
      <c r="D27" s="645">
        <v>388</v>
      </c>
      <c r="E27" s="646">
        <v>3205</v>
      </c>
      <c r="F27" s="647">
        <v>399</v>
      </c>
      <c r="G27" s="646">
        <v>3316</v>
      </c>
      <c r="H27" s="648">
        <v>21</v>
      </c>
      <c r="I27" s="649">
        <f t="shared" si="1"/>
        <v>0.5714285714285714</v>
      </c>
      <c r="J27" s="230">
        <f t="shared" si="3"/>
        <v>0.99392744332384064</v>
      </c>
      <c r="L27" s="20">
        <v>12</v>
      </c>
      <c r="M27" s="20">
        <f t="shared" si="2"/>
        <v>9</v>
      </c>
    </row>
    <row r="28" spans="1:13" ht="12" thickBot="1" x14ac:dyDescent="0.25">
      <c r="A28" s="19"/>
      <c r="C28" s="207"/>
      <c r="D28" s="467"/>
      <c r="E28" s="467"/>
      <c r="F28" s="467"/>
      <c r="G28" s="467"/>
      <c r="H28" s="650"/>
      <c r="I28" s="649"/>
      <c r="J28" s="230"/>
    </row>
    <row r="29" spans="1:13" ht="12" thickBot="1" x14ac:dyDescent="0.25">
      <c r="A29" s="691" t="s">
        <v>714</v>
      </c>
      <c r="B29" s="20" t="s">
        <v>715</v>
      </c>
      <c r="C29" s="207" t="s">
        <v>690</v>
      </c>
      <c r="D29" s="645">
        <v>525</v>
      </c>
      <c r="E29" s="646">
        <v>6570</v>
      </c>
      <c r="F29" s="647">
        <v>575</v>
      </c>
      <c r="G29" s="646">
        <v>6686</v>
      </c>
      <c r="H29" s="648">
        <v>87</v>
      </c>
      <c r="I29" s="649">
        <f t="shared" si="1"/>
        <v>0.39080459770114945</v>
      </c>
      <c r="J29" s="230">
        <f>(E29/D29)/(G29/F29)</f>
        <v>1.0762360582881074</v>
      </c>
      <c r="L29" s="20">
        <v>34</v>
      </c>
      <c r="M29" s="20">
        <f t="shared" si="2"/>
        <v>53</v>
      </c>
    </row>
    <row r="30" spans="1:13" ht="12" thickBot="1" x14ac:dyDescent="0.25">
      <c r="A30" s="691"/>
      <c r="B30" s="20" t="s">
        <v>716</v>
      </c>
      <c r="C30" s="207" t="s">
        <v>697</v>
      </c>
      <c r="D30" s="645">
        <v>428</v>
      </c>
      <c r="E30" s="646">
        <v>4972</v>
      </c>
      <c r="F30" s="647">
        <v>453</v>
      </c>
      <c r="G30" s="646">
        <v>5061</v>
      </c>
      <c r="H30" s="648">
        <v>470</v>
      </c>
      <c r="I30" s="649">
        <f t="shared" si="1"/>
        <v>0.53617021276595744</v>
      </c>
      <c r="J30" s="230">
        <f>(E30/D30)/(G30/F30)</f>
        <v>1.0397985696004077</v>
      </c>
      <c r="L30" s="20">
        <v>252</v>
      </c>
      <c r="M30" s="20">
        <f t="shared" si="2"/>
        <v>218</v>
      </c>
    </row>
    <row r="31" spans="1:13" ht="12" thickBot="1" x14ac:dyDescent="0.25">
      <c r="A31" s="691"/>
      <c r="B31" s="20" t="s">
        <v>717</v>
      </c>
      <c r="C31" s="207" t="s">
        <v>699</v>
      </c>
      <c r="D31" s="645">
        <v>366</v>
      </c>
      <c r="E31" s="646">
        <v>4173</v>
      </c>
      <c r="F31" s="647">
        <v>377</v>
      </c>
      <c r="G31" s="646">
        <v>4626</v>
      </c>
      <c r="H31" s="648">
        <v>329</v>
      </c>
      <c r="I31" s="649">
        <f t="shared" si="1"/>
        <v>0.16109422492401215</v>
      </c>
      <c r="J31" s="230">
        <f>(E31/D31)/(G31/F31)</f>
        <v>0.92918677751553935</v>
      </c>
      <c r="L31" s="20">
        <v>53</v>
      </c>
      <c r="M31" s="20">
        <f t="shared" si="2"/>
        <v>276</v>
      </c>
    </row>
    <row r="32" spans="1:13" ht="12" thickBot="1" x14ac:dyDescent="0.25">
      <c r="A32" s="19"/>
      <c r="D32" s="467"/>
      <c r="E32" s="467"/>
      <c r="F32" s="467"/>
      <c r="G32" s="467"/>
      <c r="H32" s="650"/>
      <c r="I32" s="649"/>
      <c r="J32" s="230"/>
    </row>
    <row r="33" spans="1:13" ht="29.85" customHeight="1" thickBot="1" x14ac:dyDescent="0.25">
      <c r="A33" s="732" t="s">
        <v>718</v>
      </c>
      <c r="B33" s="20" t="s">
        <v>719</v>
      </c>
      <c r="C33" s="207" t="s">
        <v>690</v>
      </c>
      <c r="D33" s="645">
        <v>520</v>
      </c>
      <c r="E33" s="646">
        <v>5677</v>
      </c>
      <c r="F33" s="647">
        <v>574</v>
      </c>
      <c r="G33" s="646">
        <v>6602</v>
      </c>
      <c r="H33" s="648">
        <v>187</v>
      </c>
      <c r="I33" s="649">
        <f t="shared" si="1"/>
        <v>0.43850267379679142</v>
      </c>
      <c r="J33" s="230">
        <f>(E33/D33)/(G33/F33)</f>
        <v>0.94918730920700034</v>
      </c>
      <c r="L33" s="20">
        <v>82</v>
      </c>
      <c r="M33" s="20">
        <f t="shared" si="2"/>
        <v>105</v>
      </c>
    </row>
    <row r="34" spans="1:13" ht="29.85" customHeight="1" thickBot="1" x14ac:dyDescent="0.25">
      <c r="A34" s="732"/>
      <c r="B34" s="20" t="s">
        <v>720</v>
      </c>
      <c r="C34" s="207" t="s">
        <v>697</v>
      </c>
      <c r="D34" s="645">
        <v>415</v>
      </c>
      <c r="E34" s="646">
        <v>4182</v>
      </c>
      <c r="F34" s="647">
        <v>450</v>
      </c>
      <c r="G34" s="646">
        <v>4510</v>
      </c>
      <c r="H34" s="648">
        <v>560</v>
      </c>
      <c r="I34" s="649">
        <f t="shared" si="1"/>
        <v>0.43392857142857144</v>
      </c>
      <c r="J34" s="230">
        <f>(E34/D34)/(G34/F34)</f>
        <v>1.005476451259584</v>
      </c>
      <c r="L34" s="20">
        <v>243</v>
      </c>
      <c r="M34" s="20">
        <f t="shared" si="2"/>
        <v>317</v>
      </c>
    </row>
    <row r="35" spans="1:13" ht="29.85" customHeight="1" thickBot="1" x14ac:dyDescent="0.25">
      <c r="A35" s="732"/>
      <c r="B35" s="20" t="s">
        <v>721</v>
      </c>
      <c r="C35" s="207" t="s">
        <v>699</v>
      </c>
      <c r="D35" s="645">
        <v>360</v>
      </c>
      <c r="E35" s="646">
        <v>3094</v>
      </c>
      <c r="F35" s="647">
        <v>371</v>
      </c>
      <c r="G35" s="646">
        <v>3266</v>
      </c>
      <c r="H35" s="648">
        <v>1836</v>
      </c>
      <c r="I35" s="649">
        <f t="shared" si="1"/>
        <v>0.40740740740740738</v>
      </c>
      <c r="J35" s="230">
        <f>(E35/D35)/(G35/F35)</f>
        <v>0.97628257467510393</v>
      </c>
      <c r="L35" s="20">
        <v>748</v>
      </c>
      <c r="M35" s="20">
        <f t="shared" si="2"/>
        <v>1088</v>
      </c>
    </row>
    <row r="36" spans="1:13" ht="12" thickBot="1" x14ac:dyDescent="0.25">
      <c r="A36" s="19"/>
      <c r="H36" s="417"/>
      <c r="I36" s="417"/>
    </row>
    <row r="37" spans="1:13" ht="12" thickBot="1" x14ac:dyDescent="0.25">
      <c r="A37" s="19" t="s">
        <v>722</v>
      </c>
      <c r="B37" s="20" t="s">
        <v>723</v>
      </c>
      <c r="C37" s="207" t="s">
        <v>690</v>
      </c>
      <c r="D37" s="645">
        <v>617</v>
      </c>
      <c r="E37" s="646">
        <v>1494</v>
      </c>
      <c r="F37" s="647">
        <v>639</v>
      </c>
      <c r="G37" s="646">
        <v>1390</v>
      </c>
      <c r="H37" s="648">
        <v>139</v>
      </c>
      <c r="I37" s="649">
        <f t="shared" si="1"/>
        <v>0.31654676258992803</v>
      </c>
      <c r="J37" s="230">
        <f>(E37/D37)/(G37/F37)</f>
        <v>1.1131443629537212</v>
      </c>
      <c r="L37" s="20">
        <v>44</v>
      </c>
      <c r="M37" s="20">
        <f t="shared" si="2"/>
        <v>95</v>
      </c>
    </row>
    <row r="38" spans="1:13" x14ac:dyDescent="0.2">
      <c r="A38" s="19"/>
    </row>
    <row r="40" spans="1:13" x14ac:dyDescent="0.2">
      <c r="A40" s="691" t="s">
        <v>724</v>
      </c>
      <c r="B40" s="691"/>
      <c r="C40" s="691"/>
      <c r="D40" s="691" t="s">
        <v>4</v>
      </c>
      <c r="E40" s="691"/>
      <c r="G40" s="691" t="s">
        <v>5</v>
      </c>
      <c r="H40" s="691"/>
      <c r="I40" s="691"/>
    </row>
    <row r="41" spans="1:13" ht="147" thickBot="1" x14ac:dyDescent="0.25">
      <c r="C41" s="654" t="s">
        <v>468</v>
      </c>
      <c r="D41" s="654" t="s">
        <v>725</v>
      </c>
      <c r="E41" s="654" t="s">
        <v>681</v>
      </c>
      <c r="F41" s="655" t="s">
        <v>682</v>
      </c>
      <c r="G41" s="654" t="s">
        <v>725</v>
      </c>
      <c r="H41" s="654" t="s">
        <v>681</v>
      </c>
      <c r="I41" s="655" t="s">
        <v>682</v>
      </c>
      <c r="J41" s="655" t="s">
        <v>726</v>
      </c>
      <c r="K41" s="655" t="s">
        <v>685</v>
      </c>
    </row>
    <row r="42" spans="1:13" ht="12" thickBot="1" x14ac:dyDescent="0.25">
      <c r="A42" s="733" t="s">
        <v>727</v>
      </c>
      <c r="B42" s="733" t="s">
        <v>728</v>
      </c>
      <c r="C42" s="207" t="s">
        <v>690</v>
      </c>
      <c r="D42" s="651">
        <f>SUMIF($C$6:$C$37,"A",$L$6:$L$37)</f>
        <v>1728</v>
      </c>
      <c r="E42" s="652">
        <v>656</v>
      </c>
      <c r="F42" s="653">
        <v>9922</v>
      </c>
      <c r="G42" s="651">
        <f>SUMIF($C$6:$C$37,"A",$M$6:$M$37)</f>
        <v>1332</v>
      </c>
      <c r="H42" s="652">
        <v>721</v>
      </c>
      <c r="I42" s="653">
        <v>11837</v>
      </c>
      <c r="J42" s="230">
        <f>D42/(D42+G42)</f>
        <v>0.56470588235294117</v>
      </c>
      <c r="K42" s="230">
        <f>(F42/E42)/(I42/H42)</f>
        <v>0.92127439384979315</v>
      </c>
    </row>
    <row r="43" spans="1:13" ht="12" thickBot="1" x14ac:dyDescent="0.25">
      <c r="A43" s="733"/>
      <c r="B43" s="733"/>
      <c r="C43" s="207" t="s">
        <v>697</v>
      </c>
      <c r="D43" s="651">
        <f>SUMIF($C$6:$C$37,"B",$L$6:$L$37)</f>
        <v>1277</v>
      </c>
      <c r="E43" s="652">
        <v>434</v>
      </c>
      <c r="F43" s="653">
        <v>4906</v>
      </c>
      <c r="G43" s="651">
        <f>SUMIF($C$6:$C$37,"B",$M$6:$M$37)</f>
        <v>793</v>
      </c>
      <c r="H43" s="652">
        <v>450</v>
      </c>
      <c r="I43" s="653">
        <v>4777</v>
      </c>
      <c r="J43" s="230">
        <f>D43/(D43+G43)</f>
        <v>0.61690821256038653</v>
      </c>
      <c r="K43" s="230">
        <f>(F43/E43)/(I43/H43)</f>
        <v>1.0648663092834425</v>
      </c>
    </row>
    <row r="44" spans="1:13" ht="12" thickBot="1" x14ac:dyDescent="0.25">
      <c r="A44" s="733"/>
      <c r="B44" s="733"/>
      <c r="C44" s="207" t="s">
        <v>699</v>
      </c>
      <c r="D44" s="651">
        <f>SUMIF($C$6:$C$37,"C",$L$6:$L$37)</f>
        <v>1814</v>
      </c>
      <c r="E44" s="652">
        <v>375</v>
      </c>
      <c r="F44" s="653">
        <v>3849</v>
      </c>
      <c r="G44" s="651">
        <f>SUMIF($C$6:$C$37,"C",$M$6:$M$37)</f>
        <v>1543</v>
      </c>
      <c r="H44" s="652">
        <v>373</v>
      </c>
      <c r="I44" s="653">
        <v>3637</v>
      </c>
      <c r="J44" s="230">
        <f>D44/(D44+G44)</f>
        <v>0.54036341971998814</v>
      </c>
      <c r="K44" s="230">
        <f>(F44/E44)/(I44/H44)</f>
        <v>1.0526455870222711</v>
      </c>
    </row>
    <row r="46" spans="1:13" x14ac:dyDescent="0.2">
      <c r="A46" s="20" t="s">
        <v>729</v>
      </c>
      <c r="D46" s="467"/>
      <c r="G46" s="467"/>
    </row>
    <row r="47" spans="1:13" x14ac:dyDescent="0.2">
      <c r="A47" s="20" t="s">
        <v>730</v>
      </c>
      <c r="D47" s="297"/>
    </row>
    <row r="48" spans="1:13" x14ac:dyDescent="0.2">
      <c r="A48" s="20" t="s">
        <v>731</v>
      </c>
    </row>
    <row r="51" spans="1:3" ht="71.25" customHeight="1" x14ac:dyDescent="0.2">
      <c r="A51" s="734" t="s">
        <v>732</v>
      </c>
      <c r="B51" s="734"/>
      <c r="C51" s="734"/>
    </row>
    <row r="53" spans="1:3" ht="66.75" customHeight="1" x14ac:dyDescent="0.2">
      <c r="A53" s="734" t="s">
        <v>733</v>
      </c>
      <c r="B53" s="734"/>
    </row>
    <row r="54" spans="1:3" ht="41.25" customHeight="1" x14ac:dyDescent="0.2">
      <c r="A54" s="734" t="s">
        <v>734</v>
      </c>
      <c r="B54" s="734"/>
    </row>
    <row r="56" spans="1:3" x14ac:dyDescent="0.2">
      <c r="A56" s="734" t="s">
        <v>735</v>
      </c>
      <c r="B56" s="734"/>
    </row>
    <row r="57" spans="1:3" x14ac:dyDescent="0.2">
      <c r="A57" s="20" t="s">
        <v>736</v>
      </c>
    </row>
    <row r="58" spans="1:3" ht="144.75" customHeight="1" x14ac:dyDescent="0.2">
      <c r="A58" s="718" t="s">
        <v>737</v>
      </c>
      <c r="B58" s="718"/>
    </row>
    <row r="60" spans="1:3" x14ac:dyDescent="0.2">
      <c r="A60" s="20" t="s">
        <v>901</v>
      </c>
    </row>
    <row r="62" spans="1:3" x14ac:dyDescent="0.2">
      <c r="A62" s="195"/>
    </row>
    <row r="63" spans="1:3" x14ac:dyDescent="0.2">
      <c r="A63" s="195"/>
    </row>
  </sheetData>
  <mergeCells count="17">
    <mergeCell ref="A51:C51"/>
    <mergeCell ref="A53:B53"/>
    <mergeCell ref="A54:B54"/>
    <mergeCell ref="A56:B56"/>
    <mergeCell ref="A58:B58"/>
    <mergeCell ref="A33:A35"/>
    <mergeCell ref="A40:C40"/>
    <mergeCell ref="D40:E40"/>
    <mergeCell ref="G40:I40"/>
    <mergeCell ref="A42:A44"/>
    <mergeCell ref="B42:B44"/>
    <mergeCell ref="A29:A31"/>
    <mergeCell ref="A3:C3"/>
    <mergeCell ref="D3:E3"/>
    <mergeCell ref="F3:G3"/>
    <mergeCell ref="A6:A13"/>
    <mergeCell ref="A15:A27"/>
  </mergeCells>
  <pageMargins left="0.78749999999999998" right="0.78749999999999998" top="1.0249999999999999" bottom="1.0249999999999999" header="0.78749999999999998" footer="0.78749999999999998"/>
  <pageSetup paperSize="9" firstPageNumber="0" orientation="portrait" verticalDpi="0" r:id="rId1"/>
  <headerFooter>
    <oddHeader>&amp;C&amp;"Arial,Normal"&amp;10&amp;A</oddHeader>
    <oddFooter>&amp;C&amp;"Arial,Normal"&amp;10Page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workbookViewId="0">
      <selection activeCell="C19" sqref="C19"/>
    </sheetView>
  </sheetViews>
  <sheetFormatPr baseColWidth="10" defaultColWidth="9.140625" defaultRowHeight="11.25" x14ac:dyDescent="0.2"/>
  <cols>
    <col min="1" max="1" width="111.7109375" style="20" bestFit="1" customWidth="1"/>
    <col min="2" max="2" width="8.42578125" style="20" bestFit="1" customWidth="1"/>
    <col min="3" max="3" width="12.28515625" style="20" bestFit="1" customWidth="1"/>
    <col min="4" max="4" width="12" style="20" bestFit="1" customWidth="1"/>
    <col min="5" max="5" width="10.85546875" style="20" bestFit="1" customWidth="1"/>
    <col min="6" max="6" width="8.42578125" style="20" bestFit="1" customWidth="1"/>
    <col min="7" max="7" width="12.28515625" style="20" bestFit="1" customWidth="1"/>
    <col min="8" max="8" width="12" style="20" bestFit="1" customWidth="1"/>
    <col min="9" max="9" width="10.85546875" style="20" bestFit="1" customWidth="1"/>
    <col min="10" max="10" width="13" style="20" bestFit="1" customWidth="1"/>
    <col min="11" max="11" width="10.28515625" style="20" bestFit="1" customWidth="1"/>
    <col min="12" max="12" width="12" style="20" bestFit="1" customWidth="1"/>
    <col min="13" max="16384" width="9.140625" style="20"/>
  </cols>
  <sheetData>
    <row r="1" spans="1:12" x14ac:dyDescent="0.2">
      <c r="A1" s="19" t="s">
        <v>739</v>
      </c>
    </row>
    <row r="2" spans="1:12" x14ac:dyDescent="0.2">
      <c r="A2" s="19"/>
    </row>
    <row r="3" spans="1:12" x14ac:dyDescent="0.2">
      <c r="A3" s="19"/>
      <c r="B3" s="735" t="s">
        <v>4</v>
      </c>
      <c r="C3" s="735"/>
      <c r="D3" s="735"/>
      <c r="E3" s="735"/>
      <c r="F3" s="735" t="s">
        <v>5</v>
      </c>
      <c r="G3" s="735"/>
      <c r="H3" s="735"/>
      <c r="I3" s="735"/>
    </row>
    <row r="4" spans="1:12" ht="101.25" x14ac:dyDescent="0.2">
      <c r="A4" s="19" t="s">
        <v>740</v>
      </c>
      <c r="B4" s="414" t="s">
        <v>741</v>
      </c>
      <c r="C4" s="414" t="s">
        <v>742</v>
      </c>
      <c r="D4" s="531" t="s">
        <v>743</v>
      </c>
      <c r="E4" s="531" t="s">
        <v>744</v>
      </c>
      <c r="F4" s="414" t="s">
        <v>741</v>
      </c>
      <c r="G4" s="414" t="s">
        <v>742</v>
      </c>
      <c r="H4" s="531" t="s">
        <v>743</v>
      </c>
      <c r="I4" s="531" t="s">
        <v>744</v>
      </c>
      <c r="J4" s="19" t="s">
        <v>745</v>
      </c>
      <c r="K4" s="121" t="s">
        <v>746</v>
      </c>
      <c r="L4" s="121" t="s">
        <v>747</v>
      </c>
    </row>
    <row r="5" spans="1:12" x14ac:dyDescent="0.2">
      <c r="A5" s="532" t="s">
        <v>748</v>
      </c>
      <c r="B5" s="533">
        <v>10</v>
      </c>
      <c r="C5" s="534">
        <v>1236.7</v>
      </c>
      <c r="D5" s="535">
        <v>69542.485410000008</v>
      </c>
      <c r="E5" s="535">
        <v>1271.25</v>
      </c>
      <c r="F5" s="533">
        <v>26</v>
      </c>
      <c r="G5" s="534">
        <v>1140.4615384615386</v>
      </c>
      <c r="H5" s="535">
        <v>64130.775369230782</v>
      </c>
      <c r="I5" s="535">
        <v>1519.3653846153845</v>
      </c>
      <c r="J5" s="536">
        <f t="shared" ref="J5:J10" si="0">B5+F5</f>
        <v>36</v>
      </c>
      <c r="K5" s="537">
        <v>0.24</v>
      </c>
      <c r="L5" s="537">
        <f t="shared" ref="L5:L10" si="1">((E5/C5)/(I5/G5))</f>
        <v>0.77158721144029985</v>
      </c>
    </row>
    <row r="6" spans="1:12" x14ac:dyDescent="0.2">
      <c r="A6" s="538" t="s">
        <v>749</v>
      </c>
      <c r="B6" s="539">
        <v>90</v>
      </c>
      <c r="C6" s="540">
        <v>905.75555555555559</v>
      </c>
      <c r="D6" s="541">
        <v>50932.718126666681</v>
      </c>
      <c r="E6" s="541">
        <v>915.55555555555554</v>
      </c>
      <c r="F6" s="539">
        <v>95</v>
      </c>
      <c r="G6" s="540">
        <v>884.49473684210523</v>
      </c>
      <c r="H6" s="541">
        <v>49737.173390526317</v>
      </c>
      <c r="I6" s="541">
        <v>922.7</v>
      </c>
      <c r="J6" s="536">
        <f t="shared" si="0"/>
        <v>185</v>
      </c>
      <c r="K6" s="537">
        <v>0.51</v>
      </c>
      <c r="L6" s="537">
        <f t="shared" si="1"/>
        <v>0.96896575402765184</v>
      </c>
    </row>
    <row r="7" spans="1:12" x14ac:dyDescent="0.2">
      <c r="A7" s="542" t="s">
        <v>750</v>
      </c>
      <c r="B7" s="543">
        <v>190</v>
      </c>
      <c r="C7" s="544">
        <v>657.21578947368425</v>
      </c>
      <c r="D7" s="545">
        <v>36956.755438421053</v>
      </c>
      <c r="E7" s="545">
        <v>637.18157894736839</v>
      </c>
      <c r="F7" s="543">
        <v>111</v>
      </c>
      <c r="G7" s="544">
        <v>671.73873873873879</v>
      </c>
      <c r="H7" s="545">
        <v>37773.414278378361</v>
      </c>
      <c r="I7" s="545">
        <v>608.30630630630628</v>
      </c>
      <c r="J7" s="536">
        <f t="shared" si="0"/>
        <v>301</v>
      </c>
      <c r="K7" s="537">
        <v>0.63</v>
      </c>
      <c r="L7" s="537">
        <f t="shared" si="1"/>
        <v>1.0706149381213692</v>
      </c>
    </row>
    <row r="8" spans="1:12" x14ac:dyDescent="0.2">
      <c r="A8" s="532" t="s">
        <v>751</v>
      </c>
      <c r="B8" s="533">
        <v>82</v>
      </c>
      <c r="C8" s="534">
        <v>547.8780487804878</v>
      </c>
      <c r="D8" s="535">
        <v>30808.442802439022</v>
      </c>
      <c r="E8" s="535">
        <v>376.80487804878049</v>
      </c>
      <c r="F8" s="533">
        <v>50</v>
      </c>
      <c r="G8" s="534">
        <v>528.22</v>
      </c>
      <c r="H8" s="535">
        <v>29703.025506000013</v>
      </c>
      <c r="I8" s="535">
        <v>406.52</v>
      </c>
      <c r="J8" s="536">
        <f t="shared" si="0"/>
        <v>132</v>
      </c>
      <c r="K8" s="537">
        <v>0.64</v>
      </c>
      <c r="L8" s="537">
        <f t="shared" si="1"/>
        <v>0.89364604990999474</v>
      </c>
    </row>
    <row r="9" spans="1:12" x14ac:dyDescent="0.2">
      <c r="A9" s="538" t="s">
        <v>752</v>
      </c>
      <c r="B9" s="539">
        <v>75</v>
      </c>
      <c r="C9" s="540">
        <v>453.37333333333333</v>
      </c>
      <c r="D9" s="541">
        <v>25494.225291999996</v>
      </c>
      <c r="E9" s="541">
        <v>264.82666666666665</v>
      </c>
      <c r="F9" s="539">
        <v>57</v>
      </c>
      <c r="G9" s="540">
        <v>443.24561403508773</v>
      </c>
      <c r="H9" s="541">
        <v>24924.720342105262</v>
      </c>
      <c r="I9" s="541">
        <v>270</v>
      </c>
      <c r="J9" s="536">
        <f t="shared" si="0"/>
        <v>132</v>
      </c>
      <c r="K9" s="537">
        <v>0.56999999999999995</v>
      </c>
      <c r="L9" s="537">
        <f t="shared" si="1"/>
        <v>0.95892893829247239</v>
      </c>
    </row>
    <row r="10" spans="1:12" x14ac:dyDescent="0.2">
      <c r="A10" s="658" t="s">
        <v>523</v>
      </c>
      <c r="B10" s="536">
        <f>SUM(B5:B9)</f>
        <v>447</v>
      </c>
      <c r="C10" s="659">
        <v>665.96196868008951</v>
      </c>
      <c r="D10" s="660">
        <v>37448.573211409457</v>
      </c>
      <c r="E10" s="660">
        <v>597.17449664429535</v>
      </c>
      <c r="F10" s="536">
        <f>SUM(F5:F9)</f>
        <v>339</v>
      </c>
      <c r="G10" s="659">
        <v>707.7227138643068</v>
      </c>
      <c r="H10" s="660">
        <v>39796.875962831895</v>
      </c>
      <c r="I10" s="660">
        <v>679.64011799410025</v>
      </c>
      <c r="J10" s="536">
        <f t="shared" si="0"/>
        <v>786</v>
      </c>
      <c r="K10" s="661">
        <v>0.56999999999999995</v>
      </c>
      <c r="L10" s="661">
        <f t="shared" si="1"/>
        <v>0.93376147365947892</v>
      </c>
    </row>
    <row r="11" spans="1:12" x14ac:dyDescent="0.2">
      <c r="A11" s="20" t="s">
        <v>753</v>
      </c>
      <c r="D11" s="297"/>
      <c r="E11" s="546"/>
    </row>
    <row r="12" spans="1:12" x14ac:dyDescent="0.2">
      <c r="A12" s="20" t="s">
        <v>754</v>
      </c>
    </row>
    <row r="13" spans="1:12" ht="103.5" customHeight="1" x14ac:dyDescent="0.2">
      <c r="A13" s="734" t="s">
        <v>924</v>
      </c>
      <c r="B13" s="734"/>
      <c r="C13" s="734"/>
      <c r="D13" s="546"/>
      <c r="H13" s="546"/>
    </row>
    <row r="14" spans="1:12" x14ac:dyDescent="0.2">
      <c r="F14" s="297"/>
    </row>
    <row r="15" spans="1:12" x14ac:dyDescent="0.2">
      <c r="A15" s="20" t="s">
        <v>738</v>
      </c>
    </row>
    <row r="16" spans="1:12" x14ac:dyDescent="0.2">
      <c r="A16" s="68"/>
      <c r="F16" s="297"/>
    </row>
    <row r="17" spans="6:6" x14ac:dyDescent="0.2">
      <c r="F17" s="297"/>
    </row>
    <row r="18" spans="6:6" x14ac:dyDescent="0.2">
      <c r="F18" s="297"/>
    </row>
    <row r="19" spans="6:6" x14ac:dyDescent="0.2">
      <c r="F19" s="297"/>
    </row>
  </sheetData>
  <mergeCells count="3">
    <mergeCell ref="B3:E3"/>
    <mergeCell ref="F3:I3"/>
    <mergeCell ref="A13:C13"/>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Normal="100" workbookViewId="0">
      <selection activeCell="E27" sqref="E27"/>
    </sheetView>
  </sheetViews>
  <sheetFormatPr baseColWidth="10" defaultColWidth="9.140625" defaultRowHeight="11.25" x14ac:dyDescent="0.2"/>
  <cols>
    <col min="1" max="1" width="39.42578125" style="20" customWidth="1"/>
    <col min="2" max="16384" width="9.140625" style="20"/>
  </cols>
  <sheetData>
    <row r="1" spans="1:3" x14ac:dyDescent="0.2">
      <c r="A1" s="19" t="s">
        <v>888</v>
      </c>
    </row>
    <row r="2" spans="1:3" x14ac:dyDescent="0.2">
      <c r="A2" s="19"/>
    </row>
    <row r="3" spans="1:3" x14ac:dyDescent="0.2">
      <c r="A3" s="19"/>
      <c r="B3" s="19">
        <v>2015</v>
      </c>
      <c r="C3" s="19">
        <v>2014</v>
      </c>
    </row>
    <row r="4" spans="1:3" x14ac:dyDescent="0.2">
      <c r="A4" s="19" t="s">
        <v>189</v>
      </c>
      <c r="B4" s="547">
        <v>-7.9110012758684678E-2</v>
      </c>
      <c r="C4" s="547">
        <v>-8.23092904217958E-2</v>
      </c>
    </row>
    <row r="5" spans="1:3" x14ac:dyDescent="0.2">
      <c r="A5" s="548" t="s">
        <v>190</v>
      </c>
      <c r="B5" s="548"/>
      <c r="C5" s="548"/>
    </row>
    <row r="6" spans="1:3" x14ac:dyDescent="0.2">
      <c r="A6" s="549" t="s">
        <v>191</v>
      </c>
      <c r="B6" s="547">
        <v>-2.1887559715940252E-2</v>
      </c>
      <c r="C6" s="547">
        <v>-1.0484183639934197E-2</v>
      </c>
    </row>
    <row r="7" spans="1:3" x14ac:dyDescent="0.2">
      <c r="A7" s="296" t="s">
        <v>193</v>
      </c>
      <c r="B7" s="550">
        <v>-7.3652866951527507E-2</v>
      </c>
      <c r="C7" s="550">
        <v>-6.8191191624936032E-2</v>
      </c>
    </row>
    <row r="8" spans="1:3" x14ac:dyDescent="0.2">
      <c r="A8" s="296" t="s">
        <v>194</v>
      </c>
      <c r="B8" s="550">
        <v>-3.2289919443626136E-2</v>
      </c>
      <c r="C8" s="550">
        <v>-5.4343168276947407E-2</v>
      </c>
    </row>
    <row r="9" spans="1:3" x14ac:dyDescent="0.2">
      <c r="A9" s="296" t="s">
        <v>195</v>
      </c>
      <c r="B9" s="550">
        <v>-3.2855868632680973E-2</v>
      </c>
      <c r="C9" s="550">
        <v>-2.6035612257930718E-2</v>
      </c>
    </row>
    <row r="10" spans="1:3" x14ac:dyDescent="0.2">
      <c r="A10" s="549" t="s">
        <v>196</v>
      </c>
      <c r="B10" s="547">
        <v>-5.6693432689231549E-2</v>
      </c>
      <c r="C10" s="547">
        <v>-6.3829354264507532E-2</v>
      </c>
    </row>
    <row r="11" spans="1:3" x14ac:dyDescent="0.2">
      <c r="A11" s="296" t="s">
        <v>193</v>
      </c>
      <c r="B11" s="550">
        <v>-0.11123873514482974</v>
      </c>
      <c r="C11" s="550">
        <v>-0.11816729967109407</v>
      </c>
    </row>
    <row r="12" spans="1:3" x14ac:dyDescent="0.2">
      <c r="A12" s="296" t="s">
        <v>194</v>
      </c>
      <c r="B12" s="550">
        <v>-3.384104504038421E-2</v>
      </c>
      <c r="C12" s="550">
        <v>-4.5546407676804179E-2</v>
      </c>
    </row>
    <row r="13" spans="1:3" x14ac:dyDescent="0.2">
      <c r="A13" s="296" t="s">
        <v>195</v>
      </c>
      <c r="B13" s="550">
        <v>-3.1272464326106975E-2</v>
      </c>
      <c r="C13" s="550">
        <v>-4.6547129866115533E-2</v>
      </c>
    </row>
    <row r="14" spans="1:3" x14ac:dyDescent="0.2">
      <c r="A14" s="549" t="s">
        <v>197</v>
      </c>
      <c r="B14" s="547">
        <v>-8.3334493251978614E-2</v>
      </c>
      <c r="C14" s="547">
        <v>-8.3327967093730582E-2</v>
      </c>
    </row>
    <row r="15" spans="1:3" x14ac:dyDescent="0.2">
      <c r="A15" s="296" t="s">
        <v>193</v>
      </c>
      <c r="B15" s="550">
        <v>-9.1529305105839787E-2</v>
      </c>
      <c r="C15" s="550">
        <v>-0.10237062663393171</v>
      </c>
    </row>
    <row r="16" spans="1:3" x14ac:dyDescent="0.2">
      <c r="A16" s="296" t="s">
        <v>194</v>
      </c>
      <c r="B16" s="550">
        <v>-3.5990545418301267E-2</v>
      </c>
      <c r="C16" s="550">
        <v>-5.5960808267962459E-2</v>
      </c>
    </row>
    <row r="17" spans="1:3" x14ac:dyDescent="0.2">
      <c r="A17" s="296" t="s">
        <v>195</v>
      </c>
      <c r="B17" s="550">
        <v>-6.264735407645583E-2</v>
      </c>
      <c r="C17" s="550">
        <v>-6.2176757673737981E-2</v>
      </c>
    </row>
    <row r="18" spans="1:3" x14ac:dyDescent="0.2">
      <c r="A18" s="20" t="s">
        <v>889</v>
      </c>
      <c r="B18" s="550"/>
      <c r="C18" s="550"/>
    </row>
    <row r="19" spans="1:3" x14ac:dyDescent="0.2">
      <c r="A19" s="20" t="s">
        <v>890</v>
      </c>
    </row>
    <row r="20" spans="1:3" x14ac:dyDescent="0.2">
      <c r="A20" s="20" t="s">
        <v>200</v>
      </c>
    </row>
    <row r="22" spans="1:3" x14ac:dyDescent="0.2">
      <c r="A22" s="20" t="s">
        <v>925</v>
      </c>
    </row>
    <row r="24" spans="1:3" x14ac:dyDescent="0.2">
      <c r="A24" s="68"/>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Normal="100" workbookViewId="0">
      <selection activeCell="G21" sqref="G21"/>
    </sheetView>
  </sheetViews>
  <sheetFormatPr baseColWidth="10" defaultColWidth="9.140625" defaultRowHeight="11.25" x14ac:dyDescent="0.2"/>
  <cols>
    <col min="1" max="1" width="34.85546875" style="20" customWidth="1"/>
    <col min="2" max="16384" width="9.140625" style="20"/>
  </cols>
  <sheetData>
    <row r="1" spans="1:3" x14ac:dyDescent="0.2">
      <c r="A1" s="19" t="s">
        <v>891</v>
      </c>
    </row>
    <row r="2" spans="1:3" x14ac:dyDescent="0.2">
      <c r="A2" s="19"/>
    </row>
    <row r="3" spans="1:3" x14ac:dyDescent="0.2">
      <c r="B3" s="19">
        <v>2015</v>
      </c>
      <c r="C3" s="19">
        <v>2014</v>
      </c>
    </row>
    <row r="4" spans="1:3" x14ac:dyDescent="0.2">
      <c r="A4" s="19" t="s">
        <v>892</v>
      </c>
      <c r="B4" s="230">
        <v>0.53358974358974354</v>
      </c>
      <c r="C4" s="230">
        <v>0.53064059686133269</v>
      </c>
    </row>
    <row r="5" spans="1:3" x14ac:dyDescent="0.2">
      <c r="A5" s="548" t="s">
        <v>203</v>
      </c>
      <c r="B5" s="551"/>
      <c r="C5" s="551"/>
    </row>
    <row r="6" spans="1:3" x14ac:dyDescent="0.2">
      <c r="A6" s="20" t="s">
        <v>204</v>
      </c>
      <c r="B6" s="298">
        <v>0.60307692307692307</v>
      </c>
      <c r="C6" s="298">
        <v>0.59567901234567899</v>
      </c>
    </row>
    <row r="7" spans="1:3" x14ac:dyDescent="0.2">
      <c r="A7" s="20" t="s">
        <v>205</v>
      </c>
      <c r="B7" s="298"/>
      <c r="C7" s="298"/>
    </row>
    <row r="8" spans="1:3" x14ac:dyDescent="0.2">
      <c r="A8" s="20" t="s">
        <v>206</v>
      </c>
      <c r="B8" s="298">
        <v>0.43128205128205127</v>
      </c>
      <c r="C8" s="298">
        <v>0.41203703703703703</v>
      </c>
    </row>
    <row r="9" spans="1:3" x14ac:dyDescent="0.2">
      <c r="A9" s="20" t="s">
        <v>207</v>
      </c>
      <c r="B9" s="298">
        <v>0.40923076923076923</v>
      </c>
      <c r="C9" s="298">
        <v>0.38374485596707819</v>
      </c>
    </row>
    <row r="10" spans="1:3" x14ac:dyDescent="0.2">
      <c r="A10" s="20" t="s">
        <v>208</v>
      </c>
      <c r="B10" s="298">
        <v>0.30769230769230771</v>
      </c>
      <c r="C10" s="298">
        <v>0.33846153846153848</v>
      </c>
    </row>
    <row r="11" spans="1:3" ht="92.25" customHeight="1" x14ac:dyDescent="0.2">
      <c r="A11" s="49" t="s">
        <v>893</v>
      </c>
      <c r="B11" s="550"/>
      <c r="C11" s="550"/>
    </row>
    <row r="12" spans="1:3" x14ac:dyDescent="0.2">
      <c r="A12" s="20" t="s">
        <v>894</v>
      </c>
    </row>
    <row r="13" spans="1:3" x14ac:dyDescent="0.2">
      <c r="A13" s="20" t="s">
        <v>895</v>
      </c>
    </row>
    <row r="14" spans="1:3" x14ac:dyDescent="0.2">
      <c r="A14" s="20" t="s">
        <v>200</v>
      </c>
    </row>
    <row r="16" spans="1:3" x14ac:dyDescent="0.2">
      <c r="A16" s="20" t="s">
        <v>926</v>
      </c>
    </row>
    <row r="18" spans="1:1" x14ac:dyDescent="0.2">
      <c r="A18" s="68"/>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Normal="100" workbookViewId="0">
      <selection activeCell="D29" sqref="D29:E29"/>
    </sheetView>
  </sheetViews>
  <sheetFormatPr baseColWidth="10" defaultColWidth="9.140625" defaultRowHeight="11.25" x14ac:dyDescent="0.2"/>
  <cols>
    <col min="1" max="1" width="38.28515625" style="20" customWidth="1"/>
    <col min="2" max="16384" width="9.140625" style="20"/>
  </cols>
  <sheetData>
    <row r="1" spans="1:3" ht="14.85" customHeight="1" x14ac:dyDescent="0.2">
      <c r="A1" s="19" t="s">
        <v>896</v>
      </c>
      <c r="B1" s="19"/>
      <c r="C1" s="19"/>
    </row>
    <row r="2" spans="1:3" ht="14.85" customHeight="1" x14ac:dyDescent="0.2">
      <c r="A2" s="19"/>
      <c r="B2" s="19"/>
      <c r="C2" s="19"/>
    </row>
    <row r="3" spans="1:3" x14ac:dyDescent="0.2">
      <c r="B3" s="19">
        <v>2015</v>
      </c>
      <c r="C3" s="19">
        <v>2014</v>
      </c>
    </row>
    <row r="4" spans="1:3" x14ac:dyDescent="0.2">
      <c r="A4" s="19" t="s">
        <v>189</v>
      </c>
      <c r="B4" s="230">
        <v>-0.11316439015220114</v>
      </c>
      <c r="C4" s="230">
        <v>-0.10936057794386866</v>
      </c>
    </row>
    <row r="5" spans="1:3" x14ac:dyDescent="0.2">
      <c r="A5" s="548" t="s">
        <v>190</v>
      </c>
      <c r="B5" s="551"/>
      <c r="C5" s="551"/>
    </row>
    <row r="6" spans="1:3" x14ac:dyDescent="0.2">
      <c r="A6" s="549" t="s">
        <v>191</v>
      </c>
      <c r="B6" s="230">
        <v>-7.5184424213580403E-2</v>
      </c>
      <c r="C6" s="230">
        <v>-3.6483303277340617E-2</v>
      </c>
    </row>
    <row r="7" spans="1:3" x14ac:dyDescent="0.2">
      <c r="A7" s="296" t="s">
        <v>193</v>
      </c>
      <c r="B7" s="298">
        <v>-8.111456609434653E-2</v>
      </c>
      <c r="C7" s="298">
        <v>-7.4408006932116577E-2</v>
      </c>
    </row>
    <row r="8" spans="1:3" x14ac:dyDescent="0.2">
      <c r="A8" s="296" t="s">
        <v>194</v>
      </c>
      <c r="B8" s="298">
        <v>-9.4747030177286473E-2</v>
      </c>
      <c r="C8" s="298">
        <v>-6.8683738923590587E-2</v>
      </c>
    </row>
    <row r="9" spans="1:3" x14ac:dyDescent="0.2">
      <c r="A9" s="296" t="s">
        <v>195</v>
      </c>
      <c r="B9" s="298">
        <v>-6.8194070279032015E-2</v>
      </c>
      <c r="C9" s="298">
        <v>2.1141708209818422E-2</v>
      </c>
    </row>
    <row r="10" spans="1:3" x14ac:dyDescent="0.2">
      <c r="A10" s="549" t="s">
        <v>196</v>
      </c>
      <c r="B10" s="230">
        <v>-7.2007595480057085E-2</v>
      </c>
      <c r="C10" s="230">
        <v>-6.7407883554998937E-2</v>
      </c>
    </row>
    <row r="11" spans="1:3" x14ac:dyDescent="0.2">
      <c r="A11" s="296" t="s">
        <v>193</v>
      </c>
      <c r="B11" s="298">
        <v>-7.5655010853389326E-2</v>
      </c>
      <c r="C11" s="298">
        <v>-7.7174088363877846E-2</v>
      </c>
    </row>
    <row r="12" spans="1:3" x14ac:dyDescent="0.2">
      <c r="A12" s="296" t="s">
        <v>194</v>
      </c>
      <c r="B12" s="298">
        <v>-8.3482580754782987E-2</v>
      </c>
      <c r="C12" s="298">
        <v>-6.855769441622539E-2</v>
      </c>
    </row>
    <row r="13" spans="1:3" x14ac:dyDescent="0.2">
      <c r="A13" s="296" t="s">
        <v>195</v>
      </c>
      <c r="B13" s="298">
        <v>-8.2470424678068754E-2</v>
      </c>
      <c r="C13" s="298">
        <v>-0.11916854750443417</v>
      </c>
    </row>
    <row r="14" spans="1:3" x14ac:dyDescent="0.2">
      <c r="A14" s="549" t="s">
        <v>197</v>
      </c>
      <c r="B14" s="230">
        <v>-0.12637341356246623</v>
      </c>
      <c r="C14" s="230">
        <v>-0.12331106494678057</v>
      </c>
    </row>
    <row r="15" spans="1:3" x14ac:dyDescent="0.2">
      <c r="A15" s="296" t="s">
        <v>193</v>
      </c>
      <c r="B15" s="298">
        <v>-0.12930831153840849</v>
      </c>
      <c r="C15" s="298">
        <v>-0.12558998131239818</v>
      </c>
    </row>
    <row r="16" spans="1:3" x14ac:dyDescent="0.2">
      <c r="A16" s="296" t="s">
        <v>194</v>
      </c>
      <c r="B16" s="298">
        <v>-8.7300634566113033E-2</v>
      </c>
      <c r="C16" s="298">
        <v>-9.6408148321038389E-2</v>
      </c>
    </row>
    <row r="17" spans="1:3" x14ac:dyDescent="0.2">
      <c r="A17" s="296" t="s">
        <v>195</v>
      </c>
      <c r="B17" s="298">
        <v>-1.9423786381171371E-2</v>
      </c>
      <c r="C17" s="298">
        <v>-1.4625435339327697E-2</v>
      </c>
    </row>
    <row r="18" spans="1:3" x14ac:dyDescent="0.2">
      <c r="A18" s="20" t="s">
        <v>897</v>
      </c>
    </row>
    <row r="19" spans="1:3" x14ac:dyDescent="0.2">
      <c r="A19" s="20" t="s">
        <v>898</v>
      </c>
    </row>
    <row r="20" spans="1:3" x14ac:dyDescent="0.2">
      <c r="A20" s="20" t="s">
        <v>200</v>
      </c>
    </row>
    <row r="22" spans="1:3" x14ac:dyDescent="0.2">
      <c r="A22" s="20" t="s">
        <v>927</v>
      </c>
    </row>
    <row r="24" spans="1:3" x14ac:dyDescent="0.2">
      <c r="A24" s="68"/>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Normal="100" workbookViewId="0">
      <selection activeCell="F11" sqref="F11"/>
    </sheetView>
  </sheetViews>
  <sheetFormatPr baseColWidth="10" defaultColWidth="9.140625" defaultRowHeight="11.25" x14ac:dyDescent="0.2"/>
  <cols>
    <col min="1" max="1" width="41.140625" style="20" customWidth="1"/>
    <col min="2" max="16384" width="9.140625" style="20"/>
  </cols>
  <sheetData>
    <row r="1" spans="1:3" x14ac:dyDescent="0.2">
      <c r="A1" s="19" t="s">
        <v>899</v>
      </c>
    </row>
    <row r="2" spans="1:3" x14ac:dyDescent="0.2">
      <c r="A2" s="19"/>
    </row>
    <row r="3" spans="1:3" x14ac:dyDescent="0.2">
      <c r="B3" s="19">
        <v>2015</v>
      </c>
      <c r="C3" s="19">
        <v>2014</v>
      </c>
    </row>
    <row r="4" spans="1:3" x14ac:dyDescent="0.2">
      <c r="A4" s="19" t="s">
        <v>892</v>
      </c>
      <c r="B4" s="230">
        <v>0.46148641028532761</v>
      </c>
      <c r="C4" s="230">
        <v>0.46179985274961771</v>
      </c>
    </row>
    <row r="5" spans="1:3" x14ac:dyDescent="0.2">
      <c r="A5" s="548" t="s">
        <v>203</v>
      </c>
      <c r="B5" s="551"/>
      <c r="C5" s="551"/>
    </row>
    <row r="6" spans="1:3" x14ac:dyDescent="0.2">
      <c r="A6" s="20" t="s">
        <v>204</v>
      </c>
      <c r="B6" s="298">
        <v>0.58173618940248029</v>
      </c>
      <c r="C6" s="298">
        <v>0.56285390713476779</v>
      </c>
    </row>
    <row r="7" spans="1:3" x14ac:dyDescent="0.2">
      <c r="A7" s="20" t="s">
        <v>205</v>
      </c>
      <c r="B7" s="298"/>
      <c r="C7" s="298"/>
    </row>
    <row r="8" spans="1:3" x14ac:dyDescent="0.2">
      <c r="A8" s="20" t="s">
        <v>206</v>
      </c>
      <c r="B8" s="298">
        <v>0.3201803833145434</v>
      </c>
      <c r="C8" s="298">
        <v>0.3289920724801812</v>
      </c>
    </row>
    <row r="9" spans="1:3" x14ac:dyDescent="0.2">
      <c r="A9" s="20" t="s">
        <v>207</v>
      </c>
      <c r="B9" s="298">
        <v>0.28635851183765504</v>
      </c>
      <c r="C9" s="298">
        <v>0.29558323895809741</v>
      </c>
    </row>
    <row r="10" spans="1:3" x14ac:dyDescent="0.2">
      <c r="A10" s="20" t="s">
        <v>208</v>
      </c>
      <c r="B10" s="298">
        <v>0.2752808988764045</v>
      </c>
      <c r="C10" s="298">
        <v>0.2711864406779661</v>
      </c>
    </row>
    <row r="11" spans="1:3" ht="67.5" customHeight="1" x14ac:dyDescent="0.2">
      <c r="A11" s="49" t="s">
        <v>900</v>
      </c>
      <c r="B11" s="550"/>
      <c r="C11" s="550"/>
    </row>
    <row r="12" spans="1:3" x14ac:dyDescent="0.2">
      <c r="A12" s="20" t="s">
        <v>898</v>
      </c>
    </row>
    <row r="13" spans="1:3" x14ac:dyDescent="0.2">
      <c r="A13" s="20" t="s">
        <v>895</v>
      </c>
    </row>
    <row r="14" spans="1:3" x14ac:dyDescent="0.2">
      <c r="A14" s="20" t="s">
        <v>200</v>
      </c>
    </row>
    <row r="16" spans="1:3" x14ac:dyDescent="0.2">
      <c r="A16" s="20" t="s">
        <v>928</v>
      </c>
    </row>
    <row r="18" spans="1:1" x14ac:dyDescent="0.2">
      <c r="A18" s="68"/>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opLeftCell="A4" zoomScaleNormal="100" workbookViewId="0">
      <selection activeCell="F22" sqref="F22"/>
    </sheetView>
  </sheetViews>
  <sheetFormatPr baseColWidth="10" defaultColWidth="9.140625" defaultRowHeight="11.25" x14ac:dyDescent="0.2"/>
  <cols>
    <col min="1" max="1" width="29.7109375" style="20" customWidth="1"/>
    <col min="2" max="2" width="12.140625" style="20" customWidth="1"/>
    <col min="3" max="3" width="10.42578125" style="195" customWidth="1"/>
    <col min="4" max="4" width="10.28515625" style="195" customWidth="1"/>
    <col min="5" max="5" width="9.28515625" style="195" bestFit="1" customWidth="1"/>
    <col min="6" max="6" width="12.5703125" style="195" bestFit="1" customWidth="1"/>
    <col min="7" max="7" width="9.140625" style="20"/>
    <col min="8" max="8" width="13.140625" style="20" customWidth="1"/>
    <col min="9" max="10" width="9.140625" style="20"/>
    <col min="11" max="11" width="10.28515625" style="195" customWidth="1"/>
    <col min="12" max="12" width="11.28515625" style="195" customWidth="1"/>
    <col min="13" max="14" width="9.140625" style="195"/>
    <col min="15" max="15" width="9.140625" style="20"/>
    <col min="16" max="16" width="12.42578125" style="20" customWidth="1"/>
    <col min="17" max="16384" width="9.140625" style="20"/>
  </cols>
  <sheetData>
    <row r="1" spans="1:18" x14ac:dyDescent="0.2">
      <c r="A1" s="19" t="s">
        <v>466</v>
      </c>
    </row>
    <row r="3" spans="1:18" ht="12.75" customHeight="1" x14ac:dyDescent="0.2">
      <c r="A3" s="737" t="s">
        <v>467</v>
      </c>
      <c r="B3" s="737" t="s">
        <v>468</v>
      </c>
      <c r="C3" s="736" t="s">
        <v>469</v>
      </c>
      <c r="D3" s="736"/>
      <c r="E3" s="736"/>
      <c r="F3" s="736" t="s">
        <v>470</v>
      </c>
      <c r="G3" s="737" t="s">
        <v>471</v>
      </c>
      <c r="H3" s="737" t="s">
        <v>472</v>
      </c>
      <c r="I3" s="737" t="s">
        <v>473</v>
      </c>
      <c r="J3" s="737" t="s">
        <v>474</v>
      </c>
      <c r="K3" s="736" t="s">
        <v>399</v>
      </c>
      <c r="L3" s="736"/>
      <c r="M3" s="736"/>
      <c r="N3" s="736" t="s">
        <v>470</v>
      </c>
      <c r="O3" s="737" t="s">
        <v>471</v>
      </c>
      <c r="P3" s="737" t="s">
        <v>472</v>
      </c>
      <c r="Q3" s="737" t="s">
        <v>473</v>
      </c>
      <c r="R3" s="737" t="s">
        <v>474</v>
      </c>
    </row>
    <row r="4" spans="1:18" ht="33.75" customHeight="1" x14ac:dyDescent="0.2">
      <c r="A4" s="737"/>
      <c r="B4" s="737"/>
      <c r="C4" s="736"/>
      <c r="D4" s="736"/>
      <c r="E4" s="736"/>
      <c r="F4" s="736"/>
      <c r="G4" s="737"/>
      <c r="H4" s="737"/>
      <c r="I4" s="737"/>
      <c r="J4" s="737"/>
      <c r="K4" s="736"/>
      <c r="L4" s="736"/>
      <c r="M4" s="736"/>
      <c r="N4" s="736"/>
      <c r="O4" s="737"/>
      <c r="P4" s="737"/>
      <c r="Q4" s="737"/>
      <c r="R4" s="737"/>
    </row>
    <row r="5" spans="1:18" ht="23.85" customHeight="1" x14ac:dyDescent="0.2">
      <c r="A5" s="737"/>
      <c r="B5" s="737"/>
      <c r="C5" s="552" t="s">
        <v>4</v>
      </c>
      <c r="D5" s="552" t="s">
        <v>5</v>
      </c>
      <c r="E5" s="552" t="s">
        <v>6</v>
      </c>
      <c r="F5" s="736" t="s">
        <v>475</v>
      </c>
      <c r="G5" s="737" t="s">
        <v>475</v>
      </c>
      <c r="H5" s="737"/>
      <c r="I5" s="737"/>
      <c r="J5" s="737"/>
      <c r="K5" s="552" t="s">
        <v>4</v>
      </c>
      <c r="L5" s="552" t="s">
        <v>5</v>
      </c>
      <c r="M5" s="552" t="s">
        <v>6</v>
      </c>
      <c r="N5" s="736"/>
      <c r="O5" s="737"/>
      <c r="P5" s="737"/>
      <c r="Q5" s="737"/>
      <c r="R5" s="737"/>
    </row>
    <row r="6" spans="1:18" ht="15.75" customHeight="1" x14ac:dyDescent="0.2">
      <c r="A6" s="738" t="s">
        <v>476</v>
      </c>
      <c r="B6" s="196" t="s">
        <v>477</v>
      </c>
      <c r="C6" s="553">
        <v>31</v>
      </c>
      <c r="D6" s="553">
        <v>34</v>
      </c>
      <c r="E6" s="553">
        <f>C6+D6</f>
        <v>65</v>
      </c>
      <c r="F6" s="554">
        <f>C6/E6</f>
        <v>0.47692307692307695</v>
      </c>
      <c r="G6" s="197">
        <v>0.36</v>
      </c>
      <c r="H6" s="197">
        <v>0.40620000000000001</v>
      </c>
      <c r="I6" s="198">
        <v>0.30299999999999999</v>
      </c>
      <c r="J6" s="198">
        <v>0.35</v>
      </c>
      <c r="K6" s="553">
        <v>3</v>
      </c>
      <c r="L6" s="553">
        <v>8</v>
      </c>
      <c r="M6" s="553">
        <f>K6+L6</f>
        <v>11</v>
      </c>
      <c r="N6" s="554">
        <f t="shared" ref="N6:N13" si="0">K6/M6</f>
        <v>0.27272727272727271</v>
      </c>
      <c r="O6" s="197">
        <v>0.28999999999999998</v>
      </c>
      <c r="P6" s="197">
        <v>0.22220000000000001</v>
      </c>
      <c r="Q6" s="198">
        <v>0.2</v>
      </c>
      <c r="R6" s="198">
        <v>0.31</v>
      </c>
    </row>
    <row r="7" spans="1:18" x14ac:dyDescent="0.2">
      <c r="A7" s="738"/>
      <c r="B7" s="196" t="s">
        <v>478</v>
      </c>
      <c r="C7" s="553">
        <v>10</v>
      </c>
      <c r="D7" s="553">
        <v>10</v>
      </c>
      <c r="E7" s="553">
        <f>C7+D7</f>
        <v>20</v>
      </c>
      <c r="F7" s="554">
        <f>C7/E7</f>
        <v>0.5</v>
      </c>
      <c r="G7" s="197">
        <f>C7/E7</f>
        <v>0.5</v>
      </c>
      <c r="H7" s="197">
        <v>0.42420000000000002</v>
      </c>
      <c r="I7" s="198">
        <v>0.5</v>
      </c>
      <c r="J7" s="198">
        <v>0.41</v>
      </c>
      <c r="K7" s="553">
        <v>1</v>
      </c>
      <c r="L7" s="553">
        <v>4</v>
      </c>
      <c r="M7" s="553">
        <f>K7+L7</f>
        <v>5</v>
      </c>
      <c r="N7" s="554">
        <f t="shared" si="0"/>
        <v>0.2</v>
      </c>
      <c r="O7" s="197">
        <v>0.64</v>
      </c>
      <c r="P7" s="197">
        <v>0.28570000000000001</v>
      </c>
      <c r="Q7" s="198">
        <v>0.28570000000000001</v>
      </c>
      <c r="R7" s="198">
        <v>0</v>
      </c>
    </row>
    <row r="8" spans="1:18" ht="36.75" customHeight="1" x14ac:dyDescent="0.2">
      <c r="A8" s="738"/>
      <c r="B8" s="196" t="s">
        <v>479</v>
      </c>
      <c r="C8" s="553">
        <v>0</v>
      </c>
      <c r="D8" s="553">
        <v>0</v>
      </c>
      <c r="E8" s="553">
        <f>C8+D8</f>
        <v>0</v>
      </c>
      <c r="F8" s="554"/>
      <c r="G8" s="197">
        <v>0.5</v>
      </c>
      <c r="H8" s="196" t="s">
        <v>79</v>
      </c>
      <c r="I8" s="198">
        <v>0.25</v>
      </c>
      <c r="J8" s="198">
        <v>0.59</v>
      </c>
      <c r="K8" s="553">
        <v>0</v>
      </c>
      <c r="L8" s="553">
        <v>0</v>
      </c>
      <c r="M8" s="553">
        <f>K8+L8</f>
        <v>0</v>
      </c>
      <c r="N8" s="554"/>
      <c r="O8" s="197">
        <v>0</v>
      </c>
      <c r="P8" s="196" t="s">
        <v>79</v>
      </c>
      <c r="Q8" s="198">
        <v>0</v>
      </c>
      <c r="R8" s="198">
        <v>0.75</v>
      </c>
    </row>
    <row r="9" spans="1:18" ht="36" customHeight="1" x14ac:dyDescent="0.2">
      <c r="A9" s="737" t="s">
        <v>480</v>
      </c>
      <c r="B9" s="737"/>
      <c r="C9" s="552">
        <f>SUM(C6:C8)</f>
        <v>41</v>
      </c>
      <c r="D9" s="552">
        <f>SUM(D6:D8)</f>
        <v>44</v>
      </c>
      <c r="E9" s="552">
        <f>SUM(E6:E8)</f>
        <v>85</v>
      </c>
      <c r="F9" s="554">
        <f>C9/E9</f>
        <v>0.4823529411764706</v>
      </c>
      <c r="G9" s="197">
        <v>0.38</v>
      </c>
      <c r="H9" s="197">
        <v>0.40889999999999999</v>
      </c>
      <c r="I9" s="197">
        <v>0.33529999999999999</v>
      </c>
      <c r="J9" s="197">
        <v>0.39</v>
      </c>
      <c r="K9" s="552">
        <f>SUM(K6:K8)</f>
        <v>4</v>
      </c>
      <c r="L9" s="552">
        <f>SUM(L6:L8)</f>
        <v>12</v>
      </c>
      <c r="M9" s="552">
        <f>SUM(M6:M8)</f>
        <v>16</v>
      </c>
      <c r="N9" s="554">
        <f t="shared" si="0"/>
        <v>0.25</v>
      </c>
      <c r="O9" s="197">
        <v>0.34</v>
      </c>
      <c r="P9" s="197">
        <v>0.23519999999999999</v>
      </c>
      <c r="Q9" s="197">
        <v>0.2142</v>
      </c>
      <c r="R9" s="197">
        <v>0.27</v>
      </c>
    </row>
    <row r="10" spans="1:18" ht="38.85" customHeight="1" x14ac:dyDescent="0.2">
      <c r="A10" s="738" t="s">
        <v>481</v>
      </c>
      <c r="B10" s="196" t="s">
        <v>477</v>
      </c>
      <c r="C10" s="553">
        <v>6</v>
      </c>
      <c r="D10" s="553">
        <v>7</v>
      </c>
      <c r="E10" s="553">
        <f>C10+D10</f>
        <v>13</v>
      </c>
      <c r="F10" s="554">
        <f t="shared" ref="F10:F15" si="1">C10/E10</f>
        <v>0.46153846153846156</v>
      </c>
      <c r="G10" s="197">
        <v>0.56000000000000005</v>
      </c>
      <c r="H10" s="197">
        <v>0.46150000000000002</v>
      </c>
      <c r="I10" s="198">
        <v>0.56520000000000004</v>
      </c>
      <c r="J10" s="198">
        <v>0.43</v>
      </c>
      <c r="K10" s="553">
        <v>0</v>
      </c>
      <c r="L10" s="553">
        <v>3</v>
      </c>
      <c r="M10" s="553">
        <f>K10+L10</f>
        <v>3</v>
      </c>
      <c r="N10" s="554">
        <f t="shared" si="0"/>
        <v>0</v>
      </c>
      <c r="O10" s="197">
        <v>0.5</v>
      </c>
      <c r="P10" s="197">
        <v>0</v>
      </c>
      <c r="Q10" s="198">
        <v>0.4</v>
      </c>
      <c r="R10" s="198">
        <v>0</v>
      </c>
    </row>
    <row r="11" spans="1:18" ht="29.25" customHeight="1" x14ac:dyDescent="0.2">
      <c r="A11" s="738"/>
      <c r="B11" s="196" t="s">
        <v>478</v>
      </c>
      <c r="C11" s="553">
        <v>41</v>
      </c>
      <c r="D11" s="553">
        <v>45</v>
      </c>
      <c r="E11" s="553">
        <f>C11+D11</f>
        <v>86</v>
      </c>
      <c r="F11" s="554">
        <f t="shared" si="1"/>
        <v>0.47674418604651164</v>
      </c>
      <c r="G11" s="197">
        <v>0.48</v>
      </c>
      <c r="H11" s="197">
        <v>0.45829999999999999</v>
      </c>
      <c r="I11" s="198">
        <v>0.5</v>
      </c>
      <c r="J11" s="198">
        <v>0.48</v>
      </c>
      <c r="K11" s="553">
        <v>11</v>
      </c>
      <c r="L11" s="553">
        <v>4</v>
      </c>
      <c r="M11" s="553">
        <f>K11+L11</f>
        <v>15</v>
      </c>
      <c r="N11" s="554">
        <f t="shared" si="0"/>
        <v>0.73333333333333328</v>
      </c>
      <c r="O11" s="197">
        <v>0.5</v>
      </c>
      <c r="P11" s="197">
        <v>0.2</v>
      </c>
      <c r="Q11" s="198">
        <v>0.3</v>
      </c>
      <c r="R11" s="198">
        <v>0.62</v>
      </c>
    </row>
    <row r="12" spans="1:18" ht="31.9" customHeight="1" x14ac:dyDescent="0.2">
      <c r="A12" s="738"/>
      <c r="B12" s="196" t="s">
        <v>479</v>
      </c>
      <c r="C12" s="553">
        <v>17</v>
      </c>
      <c r="D12" s="553">
        <v>19</v>
      </c>
      <c r="E12" s="553">
        <f>C12+D12</f>
        <v>36</v>
      </c>
      <c r="F12" s="554">
        <f t="shared" si="1"/>
        <v>0.47222222222222221</v>
      </c>
      <c r="G12" s="197">
        <v>0.5</v>
      </c>
      <c r="H12" s="197">
        <v>0.5</v>
      </c>
      <c r="I12" s="198">
        <v>0.36359999999999998</v>
      </c>
      <c r="J12" s="198">
        <v>0.38</v>
      </c>
      <c r="K12" s="553">
        <v>4</v>
      </c>
      <c r="L12" s="553">
        <v>3</v>
      </c>
      <c r="M12" s="553">
        <f>K12+L12</f>
        <v>7</v>
      </c>
      <c r="N12" s="554">
        <f t="shared" si="0"/>
        <v>0.5714285714285714</v>
      </c>
      <c r="O12" s="197">
        <v>0</v>
      </c>
      <c r="P12" s="197">
        <v>1</v>
      </c>
      <c r="Q12" s="198">
        <v>0.33329999999999999</v>
      </c>
      <c r="R12" s="198">
        <v>0.5</v>
      </c>
    </row>
    <row r="13" spans="1:18" ht="42" customHeight="1" x14ac:dyDescent="0.2">
      <c r="A13" s="737" t="s">
        <v>482</v>
      </c>
      <c r="B13" s="737"/>
      <c r="C13" s="552">
        <f>SUM(C10:C12)</f>
        <v>64</v>
      </c>
      <c r="D13" s="552">
        <f>SUM(D10:D12)</f>
        <v>71</v>
      </c>
      <c r="E13" s="552">
        <f>SUM(E10:E12)</f>
        <v>135</v>
      </c>
      <c r="F13" s="554">
        <f t="shared" si="1"/>
        <v>0.47407407407407409</v>
      </c>
      <c r="G13" s="197">
        <v>0.5</v>
      </c>
      <c r="H13" s="197">
        <v>0.4657</v>
      </c>
      <c r="I13" s="197">
        <v>0.5</v>
      </c>
      <c r="J13" s="197">
        <v>0.46</v>
      </c>
      <c r="K13" s="552">
        <f>SUM(K10:K12)</f>
        <v>15</v>
      </c>
      <c r="L13" s="552">
        <f>SUM(L10:L12)</f>
        <v>10</v>
      </c>
      <c r="M13" s="552">
        <f>SUM(M10:M12)</f>
        <v>25</v>
      </c>
      <c r="N13" s="554">
        <f t="shared" si="0"/>
        <v>0.6</v>
      </c>
      <c r="O13" s="197">
        <v>0.44</v>
      </c>
      <c r="P13" s="197">
        <v>0.3125</v>
      </c>
      <c r="Q13" s="197">
        <v>0.33329999999999999</v>
      </c>
      <c r="R13" s="197">
        <v>0.5</v>
      </c>
    </row>
    <row r="14" spans="1:18" x14ac:dyDescent="0.2">
      <c r="A14" s="24"/>
      <c r="B14" s="24"/>
      <c r="C14" s="555"/>
      <c r="D14" s="555"/>
      <c r="E14" s="555"/>
      <c r="F14" s="555"/>
      <c r="G14" s="199"/>
      <c r="H14" s="199"/>
      <c r="I14" s="199"/>
      <c r="J14" s="199"/>
      <c r="K14" s="555"/>
      <c r="L14" s="555"/>
      <c r="M14" s="555"/>
      <c r="N14" s="554"/>
      <c r="O14" s="199"/>
      <c r="P14" s="199"/>
      <c r="Q14" s="199"/>
      <c r="R14" s="199"/>
    </row>
    <row r="15" spans="1:18" ht="75" customHeight="1" x14ac:dyDescent="0.2">
      <c r="A15" s="737" t="s">
        <v>483</v>
      </c>
      <c r="B15" s="737"/>
      <c r="C15" s="552">
        <f>C9+C13</f>
        <v>105</v>
      </c>
      <c r="D15" s="552">
        <f>D9+D13</f>
        <v>115</v>
      </c>
      <c r="E15" s="552">
        <f>E9+E13</f>
        <v>220</v>
      </c>
      <c r="F15" s="554">
        <f t="shared" si="1"/>
        <v>0.47727272727272729</v>
      </c>
      <c r="G15" s="197">
        <v>0.4</v>
      </c>
      <c r="H15" s="197">
        <v>0.41860000000000003</v>
      </c>
      <c r="I15" s="197">
        <v>0.3911</v>
      </c>
      <c r="J15" s="197">
        <v>0.4</v>
      </c>
      <c r="K15" s="552">
        <f>K9+K13</f>
        <v>19</v>
      </c>
      <c r="L15" s="552">
        <f>L9+L13</f>
        <v>22</v>
      </c>
      <c r="M15" s="552">
        <f>M9+M13</f>
        <v>41</v>
      </c>
      <c r="N15" s="554">
        <f>K15/M15</f>
        <v>0.46341463414634149</v>
      </c>
      <c r="O15" s="197">
        <v>0.36</v>
      </c>
      <c r="P15" s="197">
        <v>0.26</v>
      </c>
      <c r="Q15" s="197">
        <v>0.26079999999999998</v>
      </c>
      <c r="R15" s="197">
        <v>0.35</v>
      </c>
    </row>
    <row r="16" spans="1:18" x14ac:dyDescent="0.2">
      <c r="A16" s="20" t="s">
        <v>484</v>
      </c>
    </row>
    <row r="17" spans="1:18" s="120" customFormat="1" x14ac:dyDescent="0.2">
      <c r="A17" s="120" t="s">
        <v>485</v>
      </c>
      <c r="C17" s="556"/>
      <c r="D17" s="556"/>
      <c r="E17" s="556"/>
      <c r="F17" s="556"/>
      <c r="K17" s="556"/>
      <c r="L17" s="556"/>
      <c r="M17" s="556"/>
      <c r="N17" s="556"/>
    </row>
    <row r="18" spans="1:18" s="120" customFormat="1" x14ac:dyDescent="0.2">
      <c r="A18" s="120" t="s">
        <v>486</v>
      </c>
      <c r="C18" s="556"/>
      <c r="D18" s="556"/>
      <c r="E18" s="556"/>
      <c r="F18" s="556"/>
      <c r="K18" s="556"/>
      <c r="L18" s="556"/>
      <c r="M18" s="556"/>
      <c r="N18" s="556"/>
    </row>
    <row r="19" spans="1:18" ht="24.75" customHeight="1" x14ac:dyDescent="0.2">
      <c r="A19" s="734" t="s">
        <v>487</v>
      </c>
      <c r="B19" s="734"/>
      <c r="C19" s="734"/>
      <c r="D19" s="734"/>
      <c r="E19" s="734"/>
      <c r="F19" s="734"/>
      <c r="G19" s="734"/>
      <c r="H19" s="734"/>
      <c r="I19" s="734"/>
      <c r="J19" s="734"/>
      <c r="K19" s="734"/>
      <c r="L19" s="734"/>
      <c r="M19" s="734"/>
      <c r="N19" s="734"/>
      <c r="O19" s="734"/>
      <c r="P19" s="734"/>
      <c r="Q19" s="734"/>
      <c r="R19" s="734"/>
    </row>
    <row r="20" spans="1:18" ht="9" customHeight="1" x14ac:dyDescent="0.2">
      <c r="A20" s="494"/>
      <c r="B20" s="494"/>
      <c r="C20" s="494"/>
      <c r="D20" s="494"/>
      <c r="E20" s="494"/>
      <c r="F20" s="494"/>
      <c r="G20" s="494"/>
      <c r="H20" s="494"/>
      <c r="I20" s="494"/>
      <c r="J20" s="494"/>
      <c r="K20" s="494"/>
      <c r="L20" s="494"/>
      <c r="M20" s="494"/>
      <c r="N20" s="494"/>
      <c r="O20" s="494"/>
      <c r="P20" s="494"/>
      <c r="Q20" s="494"/>
      <c r="R20" s="494"/>
    </row>
    <row r="21" spans="1:18" x14ac:dyDescent="0.2">
      <c r="A21" s="20" t="s">
        <v>929</v>
      </c>
    </row>
    <row r="24" spans="1:18" x14ac:dyDescent="0.2">
      <c r="A24" s="68"/>
    </row>
  </sheetData>
  <mergeCells count="20">
    <mergeCell ref="A19:R19"/>
    <mergeCell ref="Q3:Q5"/>
    <mergeCell ref="R3:R5"/>
    <mergeCell ref="A6:A8"/>
    <mergeCell ref="A9:B9"/>
    <mergeCell ref="A10:A12"/>
    <mergeCell ref="A13:B13"/>
    <mergeCell ref="I3:I5"/>
    <mergeCell ref="J3:J5"/>
    <mergeCell ref="K3:M4"/>
    <mergeCell ref="N3:N5"/>
    <mergeCell ref="O3:O5"/>
    <mergeCell ref="P3:P5"/>
    <mergeCell ref="A3:A5"/>
    <mergeCell ref="B3:B5"/>
    <mergeCell ref="C3:E4"/>
    <mergeCell ref="F3:F5"/>
    <mergeCell ref="G3:G5"/>
    <mergeCell ref="H3:H5"/>
    <mergeCell ref="A15:B15"/>
  </mergeCells>
  <pageMargins left="0.78749999999999998" right="0.78749999999999998" top="1.0249999999999999" bottom="1.0249999999999999" header="0.78749999999999998" footer="0.78749999999999998"/>
  <pageSetup paperSize="9" firstPageNumber="0" orientation="portrait" r:id="rId1"/>
  <headerFooter>
    <oddHeader>&amp;C&amp;"Arial,Normal"&amp;10&amp;A</oddHeader>
    <oddFooter>&amp;C&amp;"Arial,Normal"&amp;10Page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workbookViewId="0">
      <selection activeCell="D23" sqref="D23"/>
    </sheetView>
  </sheetViews>
  <sheetFormatPr baseColWidth="10" defaultColWidth="48.42578125" defaultRowHeight="11.25" x14ac:dyDescent="0.2"/>
  <cols>
    <col min="1" max="1" width="48.42578125" style="2"/>
    <col min="2" max="2" width="19.5703125" style="2" customWidth="1"/>
    <col min="3" max="3" width="9.140625" style="2" customWidth="1"/>
    <col min="4" max="4" width="15" style="2" customWidth="1"/>
    <col min="5" max="5" width="14.28515625" style="2" customWidth="1"/>
    <col min="6" max="6" width="14.7109375" style="2" customWidth="1"/>
    <col min="7" max="7" width="15.28515625" style="2" customWidth="1"/>
    <col min="8" max="8" width="15" style="2" customWidth="1"/>
    <col min="9" max="9" width="15.28515625" style="2" customWidth="1"/>
    <col min="10" max="10" width="15" style="2" customWidth="1"/>
    <col min="11" max="11" width="15.28515625" style="2" customWidth="1"/>
    <col min="12" max="16384" width="48.42578125" style="2"/>
  </cols>
  <sheetData>
    <row r="1" spans="1:11" x14ac:dyDescent="0.2">
      <c r="A1" s="1" t="s">
        <v>540</v>
      </c>
      <c r="B1" s="1"/>
      <c r="C1" s="1"/>
      <c r="D1" s="1"/>
      <c r="E1" s="1"/>
    </row>
    <row r="2" spans="1:11" x14ac:dyDescent="0.2">
      <c r="A2" s="1"/>
      <c r="B2" s="1"/>
      <c r="C2" s="1"/>
      <c r="D2" s="1"/>
      <c r="E2" s="1"/>
    </row>
    <row r="3" spans="1:11" x14ac:dyDescent="0.2">
      <c r="B3" s="739" t="s">
        <v>17</v>
      </c>
      <c r="C3" s="739"/>
      <c r="D3" s="739"/>
      <c r="E3" s="739"/>
      <c r="F3" s="1" t="s">
        <v>651</v>
      </c>
      <c r="G3" s="1" t="s">
        <v>652</v>
      </c>
      <c r="H3" s="1" t="s">
        <v>653</v>
      </c>
      <c r="I3" s="1" t="s">
        <v>654</v>
      </c>
      <c r="J3" s="1" t="s">
        <v>655</v>
      </c>
      <c r="K3" s="1" t="s">
        <v>656</v>
      </c>
    </row>
    <row r="4" spans="1:11" x14ac:dyDescent="0.2">
      <c r="B4" s="3" t="s">
        <v>541</v>
      </c>
      <c r="C4" s="1" t="s">
        <v>542</v>
      </c>
      <c r="D4" s="1" t="s">
        <v>543</v>
      </c>
      <c r="E4" s="1" t="s">
        <v>7</v>
      </c>
      <c r="F4" s="1" t="s">
        <v>544</v>
      </c>
      <c r="G4" s="1" t="s">
        <v>544</v>
      </c>
      <c r="H4" s="1" t="s">
        <v>544</v>
      </c>
      <c r="I4" s="1" t="s">
        <v>544</v>
      </c>
      <c r="J4" s="1" t="s">
        <v>544</v>
      </c>
      <c r="K4" s="1" t="s">
        <v>544</v>
      </c>
    </row>
    <row r="5" spans="1:11" x14ac:dyDescent="0.2">
      <c r="A5" s="4" t="s">
        <v>545</v>
      </c>
      <c r="B5" s="4">
        <v>19</v>
      </c>
      <c r="C5" s="5">
        <v>0.1</v>
      </c>
      <c r="D5" s="5">
        <v>0.73684210526315785</v>
      </c>
      <c r="E5" s="6">
        <v>0.15789473684210525</v>
      </c>
      <c r="F5" s="7">
        <v>0.15789473684210525</v>
      </c>
      <c r="G5" s="8">
        <v>0.105263157894737</v>
      </c>
      <c r="H5" s="5">
        <v>0.105263157894737</v>
      </c>
      <c r="I5" s="5">
        <v>0.11</v>
      </c>
      <c r="J5" s="5">
        <v>0.16</v>
      </c>
      <c r="K5" s="5">
        <v>0.26</v>
      </c>
    </row>
    <row r="6" spans="1:11" x14ac:dyDescent="0.2">
      <c r="A6" s="4" t="s">
        <v>546</v>
      </c>
      <c r="B6" s="4">
        <v>47</v>
      </c>
      <c r="C6" s="5">
        <v>0</v>
      </c>
      <c r="D6" s="5">
        <v>0.38297872340425532</v>
      </c>
      <c r="E6" s="6">
        <v>0.61702127659574468</v>
      </c>
      <c r="F6" s="9">
        <v>0.63636363636363635</v>
      </c>
      <c r="G6" s="8">
        <v>0.62222222222222201</v>
      </c>
      <c r="H6" s="5">
        <v>0.62222222222222201</v>
      </c>
      <c r="I6" s="5">
        <v>0.61</v>
      </c>
      <c r="J6" s="5">
        <v>0.59</v>
      </c>
      <c r="K6" s="5">
        <v>0.53</v>
      </c>
    </row>
    <row r="7" spans="1:11" x14ac:dyDescent="0.2">
      <c r="A7" s="4" t="s">
        <v>547</v>
      </c>
      <c r="B7" s="4">
        <v>12</v>
      </c>
      <c r="C7" s="5">
        <v>0</v>
      </c>
      <c r="D7" s="5">
        <v>0.33333333333333331</v>
      </c>
      <c r="E7" s="6">
        <v>0.66666666666666663</v>
      </c>
      <c r="F7" s="9">
        <v>0.66666666666666663</v>
      </c>
      <c r="G7" s="8">
        <v>0.58333333333333304</v>
      </c>
      <c r="H7" s="5">
        <v>0.58333333333333304</v>
      </c>
      <c r="I7" s="5">
        <v>0.57999999999999996</v>
      </c>
      <c r="J7" s="5">
        <v>0.42</v>
      </c>
      <c r="K7" s="5">
        <v>0.42</v>
      </c>
    </row>
    <row r="8" spans="1:11" x14ac:dyDescent="0.2">
      <c r="A8" s="4" t="s">
        <v>548</v>
      </c>
      <c r="B8" s="10">
        <v>38</v>
      </c>
      <c r="C8" s="5">
        <v>5.4054054054054057E-2</v>
      </c>
      <c r="D8" s="5">
        <v>0.67567567567567566</v>
      </c>
      <c r="E8" s="6">
        <v>0.27027027027027029</v>
      </c>
      <c r="F8" s="9">
        <v>0.21621621621621623</v>
      </c>
      <c r="G8" s="8">
        <v>0.21052631578947401</v>
      </c>
      <c r="H8" s="5">
        <v>0.21052631578947401</v>
      </c>
      <c r="I8" s="5">
        <v>0.17</v>
      </c>
      <c r="J8" s="5">
        <v>0.1</v>
      </c>
      <c r="K8" s="5">
        <v>0.09</v>
      </c>
    </row>
    <row r="9" spans="1:11" x14ac:dyDescent="0.2">
      <c r="A9" s="4" t="s">
        <v>549</v>
      </c>
      <c r="B9" s="10">
        <v>8</v>
      </c>
      <c r="C9" s="5">
        <v>0.12</v>
      </c>
      <c r="D9" s="5">
        <v>0.75</v>
      </c>
      <c r="E9" s="6">
        <v>0.125</v>
      </c>
      <c r="F9" s="9">
        <v>0</v>
      </c>
      <c r="G9" s="8">
        <v>0</v>
      </c>
      <c r="H9" s="5">
        <v>0</v>
      </c>
      <c r="I9" s="5">
        <v>0</v>
      </c>
      <c r="J9" s="5">
        <v>0</v>
      </c>
      <c r="K9" s="5">
        <v>0</v>
      </c>
    </row>
    <row r="10" spans="1:11" x14ac:dyDescent="0.2">
      <c r="A10" s="4" t="s">
        <v>550</v>
      </c>
      <c r="B10" s="4">
        <v>14</v>
      </c>
      <c r="C10" s="5">
        <v>7.0000000000000007E-2</v>
      </c>
      <c r="D10" s="5">
        <v>0.56999999999999995</v>
      </c>
      <c r="E10" s="6">
        <v>0.36</v>
      </c>
      <c r="F10" s="9">
        <v>0.2857142857142857</v>
      </c>
      <c r="G10" s="8">
        <v>0.28571428571428598</v>
      </c>
      <c r="H10" s="5">
        <v>0.214285714285714</v>
      </c>
      <c r="I10" s="5">
        <v>0.18</v>
      </c>
      <c r="J10" s="5">
        <v>0.15</v>
      </c>
      <c r="K10" s="5">
        <v>0.08</v>
      </c>
    </row>
    <row r="11" spans="1:11" x14ac:dyDescent="0.2">
      <c r="A11" s="4" t="s">
        <v>551</v>
      </c>
      <c r="B11" s="10">
        <v>23</v>
      </c>
      <c r="C11" s="5">
        <v>0</v>
      </c>
      <c r="D11" s="5">
        <v>0.34782608695652173</v>
      </c>
      <c r="E11" s="6">
        <v>0.65217391304347827</v>
      </c>
      <c r="F11" s="9">
        <v>0.65217391304347827</v>
      </c>
      <c r="G11" s="8">
        <v>0.6</v>
      </c>
      <c r="H11" s="5">
        <v>0.55000000000000004</v>
      </c>
      <c r="I11" s="5">
        <v>0.55000000000000004</v>
      </c>
      <c r="J11" s="5">
        <v>0.61</v>
      </c>
      <c r="K11" s="5">
        <v>0.61</v>
      </c>
    </row>
    <row r="12" spans="1:11" x14ac:dyDescent="0.2">
      <c r="A12" s="4" t="s">
        <v>552</v>
      </c>
      <c r="B12" s="10">
        <v>5</v>
      </c>
      <c r="C12" s="5">
        <v>0</v>
      </c>
      <c r="D12" s="5">
        <v>0.6</v>
      </c>
      <c r="E12" s="6">
        <v>0.4</v>
      </c>
      <c r="F12" s="9">
        <v>0.4</v>
      </c>
      <c r="G12" s="8">
        <v>0.16666666666666699</v>
      </c>
      <c r="H12" s="5">
        <v>0.15384615384615399</v>
      </c>
      <c r="I12" s="5">
        <v>0.15</v>
      </c>
      <c r="J12" s="5">
        <v>0.15</v>
      </c>
      <c r="K12" s="5">
        <v>0.08</v>
      </c>
    </row>
    <row r="13" spans="1:11" x14ac:dyDescent="0.2">
      <c r="A13" s="4" t="s">
        <v>553</v>
      </c>
      <c r="B13" s="10">
        <v>11</v>
      </c>
      <c r="C13" s="5">
        <v>0</v>
      </c>
      <c r="D13" s="5">
        <v>0.45</v>
      </c>
      <c r="E13" s="6">
        <v>0.65</v>
      </c>
      <c r="F13" s="9">
        <v>0.31818181818181818</v>
      </c>
      <c r="G13" s="8">
        <v>0.375</v>
      </c>
      <c r="H13" s="5"/>
      <c r="I13" s="5"/>
      <c r="J13" s="5"/>
      <c r="K13" s="5"/>
    </row>
    <row r="14" spans="1:11" x14ac:dyDescent="0.2">
      <c r="A14" s="4" t="s">
        <v>554</v>
      </c>
      <c r="B14" s="10">
        <v>12</v>
      </c>
      <c r="C14" s="5">
        <v>0.09</v>
      </c>
      <c r="D14" s="5">
        <v>0.57999999999999996</v>
      </c>
      <c r="E14" s="6">
        <v>0.33</v>
      </c>
      <c r="F14" s="9">
        <v>0.33333333333333331</v>
      </c>
      <c r="G14" s="8">
        <v>0.33333333333333298</v>
      </c>
      <c r="H14" s="5">
        <v>0.25</v>
      </c>
      <c r="I14" s="5">
        <v>0.24</v>
      </c>
      <c r="J14" s="5">
        <v>0.28999999999999998</v>
      </c>
      <c r="K14" s="5">
        <v>0.28999999999999998</v>
      </c>
    </row>
    <row r="15" spans="1:11" x14ac:dyDescent="0.2">
      <c r="A15" s="4" t="s">
        <v>555</v>
      </c>
      <c r="B15" s="10">
        <v>85</v>
      </c>
      <c r="C15" s="5">
        <v>1.2345679012345678E-2</v>
      </c>
      <c r="D15" s="5">
        <v>0.86419753086419748</v>
      </c>
      <c r="E15" s="6">
        <v>0.13</v>
      </c>
      <c r="F15" s="9">
        <v>0.12</v>
      </c>
      <c r="G15" s="8">
        <v>0.11764705882352899</v>
      </c>
      <c r="H15" s="5">
        <v>0.10344827586206901</v>
      </c>
      <c r="I15" s="5">
        <v>0.1</v>
      </c>
      <c r="J15" s="5">
        <v>0.13</v>
      </c>
      <c r="K15" s="5">
        <v>0.13</v>
      </c>
    </row>
    <row r="16" spans="1:11" x14ac:dyDescent="0.2">
      <c r="A16" s="4" t="s">
        <v>556</v>
      </c>
      <c r="B16" s="10">
        <v>74</v>
      </c>
      <c r="C16" s="5">
        <v>0</v>
      </c>
      <c r="D16" s="5">
        <v>0.69863013698630139</v>
      </c>
      <c r="E16" s="6">
        <v>0.30136986301369861</v>
      </c>
      <c r="F16" s="9">
        <v>0.29577464788732394</v>
      </c>
      <c r="G16" s="8">
        <v>0.27536231884057999</v>
      </c>
      <c r="H16" s="5">
        <v>0.28169014084506999</v>
      </c>
      <c r="I16" s="5">
        <v>0.25</v>
      </c>
      <c r="J16" s="5">
        <v>0.28999999999999998</v>
      </c>
      <c r="K16" s="5"/>
    </row>
    <row r="17" spans="1:11" x14ac:dyDescent="0.2">
      <c r="A17" s="11" t="s">
        <v>6</v>
      </c>
      <c r="B17" s="11">
        <f>SUM(B5:B16)</f>
        <v>348</v>
      </c>
      <c r="C17" s="6">
        <v>0.03</v>
      </c>
      <c r="D17" s="6">
        <v>0.63</v>
      </c>
      <c r="E17" s="6">
        <v>0.34</v>
      </c>
      <c r="F17" s="7">
        <v>0.307773717942045</v>
      </c>
      <c r="G17" s="8">
        <v>0.29494382022471899</v>
      </c>
      <c r="H17" s="12">
        <v>0.25761772853185599</v>
      </c>
      <c r="I17" s="12">
        <v>0.25</v>
      </c>
      <c r="J17" s="12">
        <v>0.26</v>
      </c>
      <c r="K17" s="12">
        <v>0.25</v>
      </c>
    </row>
    <row r="18" spans="1:11" x14ac:dyDescent="0.2">
      <c r="A18" s="2" t="s">
        <v>557</v>
      </c>
    </row>
    <row r="19" spans="1:11" x14ac:dyDescent="0.2">
      <c r="A19" s="2" t="s">
        <v>558</v>
      </c>
    </row>
    <row r="20" spans="1:11" x14ac:dyDescent="0.2">
      <c r="A20" s="2" t="s">
        <v>559</v>
      </c>
    </row>
    <row r="22" spans="1:11" x14ac:dyDescent="0.2">
      <c r="A22" s="2" t="s">
        <v>308</v>
      </c>
    </row>
    <row r="24" spans="1:11" x14ac:dyDescent="0.2">
      <c r="A24" s="13"/>
    </row>
  </sheetData>
  <mergeCells count="1">
    <mergeCell ref="B3:E3"/>
  </mergeCell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A13" sqref="A13"/>
    </sheetView>
  </sheetViews>
  <sheetFormatPr baseColWidth="10" defaultRowHeight="11.25" x14ac:dyDescent="0.2"/>
  <cols>
    <col min="1" max="1" width="32.85546875" style="2" customWidth="1"/>
    <col min="2" max="4" width="11.42578125" style="2"/>
    <col min="5" max="5" width="11.42578125" style="15"/>
    <col min="6" max="9" width="17.85546875" style="2" bestFit="1" customWidth="1"/>
    <col min="10" max="16384" width="11.42578125" style="2"/>
  </cols>
  <sheetData>
    <row r="1" spans="1:9" x14ac:dyDescent="0.2">
      <c r="A1" s="740" t="s">
        <v>351</v>
      </c>
      <c r="B1" s="741"/>
      <c r="C1" s="741"/>
      <c r="D1" s="741"/>
      <c r="E1" s="741"/>
      <c r="F1" s="741"/>
      <c r="G1" s="741"/>
      <c r="H1" s="14"/>
      <c r="I1" s="14"/>
    </row>
    <row r="2" spans="1:9" x14ac:dyDescent="0.2">
      <c r="A2" s="14"/>
      <c r="B2" s="14"/>
      <c r="C2" s="14"/>
      <c r="D2" s="14"/>
      <c r="E2" s="14"/>
      <c r="F2" s="14"/>
      <c r="G2" s="14"/>
      <c r="H2" s="14"/>
      <c r="I2" s="14"/>
    </row>
    <row r="3" spans="1:9" x14ac:dyDescent="0.2">
      <c r="A3" s="14"/>
      <c r="B3" s="719" t="s">
        <v>17</v>
      </c>
      <c r="C3" s="719"/>
      <c r="D3" s="719"/>
      <c r="E3" s="14"/>
      <c r="F3" s="14" t="s">
        <v>3</v>
      </c>
      <c r="G3" s="14" t="s">
        <v>2</v>
      </c>
      <c r="H3" s="14" t="s">
        <v>1</v>
      </c>
      <c r="I3" s="14" t="s">
        <v>352</v>
      </c>
    </row>
    <row r="4" spans="1:9" x14ac:dyDescent="0.2">
      <c r="A4" s="14"/>
      <c r="B4" s="14" t="s">
        <v>4</v>
      </c>
      <c r="C4" s="14" t="s">
        <v>5</v>
      </c>
      <c r="D4" s="14" t="s">
        <v>6</v>
      </c>
      <c r="E4" s="719" t="s">
        <v>281</v>
      </c>
      <c r="F4" s="719"/>
      <c r="G4" s="719"/>
      <c r="H4" s="719"/>
      <c r="I4" s="719"/>
    </row>
    <row r="5" spans="1:9" x14ac:dyDescent="0.2">
      <c r="A5" s="15" t="s">
        <v>353</v>
      </c>
      <c r="E5" s="16"/>
    </row>
    <row r="6" spans="1:9" x14ac:dyDescent="0.2">
      <c r="A6" s="2" t="s">
        <v>354</v>
      </c>
      <c r="B6" s="17">
        <v>3</v>
      </c>
      <c r="C6" s="17">
        <v>13</v>
      </c>
      <c r="D6" s="17">
        <v>16</v>
      </c>
      <c r="E6" s="18">
        <f t="shared" ref="E6:E11" si="0">B6/D6</f>
        <v>0.1875</v>
      </c>
      <c r="F6" s="17">
        <v>21</v>
      </c>
      <c r="G6" s="17">
        <v>19</v>
      </c>
      <c r="H6" s="17">
        <v>19</v>
      </c>
      <c r="I6" s="17">
        <v>22</v>
      </c>
    </row>
    <row r="7" spans="1:9" x14ac:dyDescent="0.2">
      <c r="A7" s="2" t="s">
        <v>355</v>
      </c>
      <c r="B7" s="17">
        <v>4</v>
      </c>
      <c r="C7" s="17">
        <v>5</v>
      </c>
      <c r="D7" s="17">
        <v>9</v>
      </c>
      <c r="E7" s="18">
        <f t="shared" si="0"/>
        <v>0.44444444444444442</v>
      </c>
      <c r="F7" s="17">
        <v>50</v>
      </c>
      <c r="G7" s="17">
        <v>33</v>
      </c>
      <c r="H7" s="17">
        <v>50</v>
      </c>
      <c r="I7" s="17">
        <v>45</v>
      </c>
    </row>
    <row r="8" spans="1:9" x14ac:dyDescent="0.2">
      <c r="A8" s="2" t="s">
        <v>356</v>
      </c>
      <c r="B8" s="17">
        <v>0</v>
      </c>
      <c r="C8" s="17">
        <v>4</v>
      </c>
      <c r="D8" s="17">
        <v>4</v>
      </c>
      <c r="E8" s="18">
        <f t="shared" si="0"/>
        <v>0</v>
      </c>
      <c r="F8" s="17">
        <v>0</v>
      </c>
      <c r="G8" s="17">
        <v>0</v>
      </c>
      <c r="H8" s="17">
        <v>0</v>
      </c>
      <c r="I8" s="17" t="s">
        <v>357</v>
      </c>
    </row>
    <row r="9" spans="1:9" x14ac:dyDescent="0.2">
      <c r="A9" s="2" t="s">
        <v>358</v>
      </c>
      <c r="B9" s="17">
        <v>10</v>
      </c>
      <c r="C9" s="17">
        <v>19</v>
      </c>
      <c r="D9" s="17">
        <v>29</v>
      </c>
      <c r="E9" s="18">
        <f t="shared" si="0"/>
        <v>0.34482758620689657</v>
      </c>
      <c r="F9" s="17">
        <v>37</v>
      </c>
      <c r="G9" s="17">
        <v>28</v>
      </c>
      <c r="H9" s="17">
        <v>37</v>
      </c>
      <c r="I9" s="17">
        <v>35</v>
      </c>
    </row>
    <row r="10" spans="1:9" x14ac:dyDescent="0.2">
      <c r="A10" s="2" t="s">
        <v>359</v>
      </c>
      <c r="B10" s="17">
        <v>0</v>
      </c>
      <c r="C10" s="17">
        <v>2</v>
      </c>
      <c r="D10" s="17">
        <v>2</v>
      </c>
      <c r="E10" s="18">
        <f t="shared" si="0"/>
        <v>0</v>
      </c>
      <c r="F10" s="17">
        <v>0</v>
      </c>
      <c r="G10" s="17">
        <v>0</v>
      </c>
      <c r="H10" s="17">
        <v>0</v>
      </c>
      <c r="I10" s="17" t="s">
        <v>357</v>
      </c>
    </row>
    <row r="11" spans="1:9" s="15" customFormat="1" x14ac:dyDescent="0.2">
      <c r="A11" s="15" t="s">
        <v>6</v>
      </c>
      <c r="B11" s="14">
        <f>SUM(B6:B10)</f>
        <v>17</v>
      </c>
      <c r="C11" s="14">
        <f>SUM(C6:C10)</f>
        <v>43</v>
      </c>
      <c r="D11" s="14">
        <f>SUM(D6:D10)</f>
        <v>60</v>
      </c>
      <c r="E11" s="18">
        <f t="shared" si="0"/>
        <v>0.28333333333333333</v>
      </c>
      <c r="F11" s="14">
        <v>30</v>
      </c>
      <c r="G11" s="14">
        <v>25</v>
      </c>
      <c r="H11" s="14">
        <v>30</v>
      </c>
      <c r="I11" s="14">
        <v>32</v>
      </c>
    </row>
    <row r="13" spans="1:9" x14ac:dyDescent="0.2">
      <c r="A13" s="2" t="s">
        <v>930</v>
      </c>
    </row>
  </sheetData>
  <mergeCells count="3">
    <mergeCell ref="A1:G1"/>
    <mergeCell ref="B3:D3"/>
    <mergeCell ref="E4:I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D18" sqref="D18"/>
    </sheetView>
  </sheetViews>
  <sheetFormatPr baseColWidth="10" defaultRowHeight="11.25" x14ac:dyDescent="0.2"/>
  <cols>
    <col min="1" max="1" width="47.85546875" style="2" customWidth="1"/>
    <col min="2" max="2" width="13.5703125" style="13" customWidth="1"/>
    <col min="3" max="4" width="11.42578125" style="2"/>
    <col min="5" max="5" width="11.42578125" style="15"/>
    <col min="6" max="16384" width="11.42578125" style="2"/>
  </cols>
  <sheetData>
    <row r="1" spans="1:7" x14ac:dyDescent="0.2">
      <c r="A1" s="15" t="s">
        <v>640</v>
      </c>
      <c r="B1" s="200"/>
      <c r="C1" s="15"/>
      <c r="D1" s="15"/>
      <c r="F1" s="15"/>
      <c r="G1" s="15"/>
    </row>
    <row r="2" spans="1:7" x14ac:dyDescent="0.2">
      <c r="A2" s="15"/>
      <c r="B2" s="200"/>
      <c r="C2" s="15"/>
      <c r="D2" s="15"/>
      <c r="F2" s="15"/>
      <c r="G2" s="15"/>
    </row>
    <row r="3" spans="1:7" x14ac:dyDescent="0.2">
      <c r="A3" s="15"/>
      <c r="B3" s="200"/>
      <c r="C3" s="719">
        <v>2018</v>
      </c>
      <c r="D3" s="719"/>
      <c r="E3" s="719"/>
      <c r="F3" s="14">
        <v>2017</v>
      </c>
      <c r="G3" s="14">
        <v>2016</v>
      </c>
    </row>
    <row r="4" spans="1:7" ht="33.75" x14ac:dyDescent="0.2">
      <c r="A4" s="15"/>
      <c r="B4" s="557" t="s">
        <v>360</v>
      </c>
      <c r="C4" s="14" t="s">
        <v>4</v>
      </c>
      <c r="D4" s="161" t="s">
        <v>5</v>
      </c>
      <c r="E4" s="719" t="s">
        <v>281</v>
      </c>
      <c r="F4" s="719"/>
      <c r="G4" s="719"/>
    </row>
    <row r="5" spans="1:7" x14ac:dyDescent="0.2">
      <c r="A5" s="2" t="s">
        <v>361</v>
      </c>
      <c r="B5" s="558"/>
      <c r="C5" s="17">
        <v>48</v>
      </c>
      <c r="D5" s="158">
        <v>53</v>
      </c>
      <c r="E5" s="18">
        <f>C5/(C5+D5)</f>
        <v>0.47524752475247523</v>
      </c>
      <c r="F5" s="202">
        <v>49</v>
      </c>
      <c r="G5" s="158">
        <v>46</v>
      </c>
    </row>
    <row r="6" spans="1:7" s="15" customFormat="1" x14ac:dyDescent="0.2">
      <c r="A6" s="201" t="s">
        <v>362</v>
      </c>
      <c r="B6" s="559"/>
      <c r="C6" s="14"/>
      <c r="D6" s="161"/>
      <c r="E6" s="18"/>
      <c r="F6" s="203"/>
      <c r="G6" s="161"/>
    </row>
    <row r="7" spans="1:7" x14ac:dyDescent="0.2">
      <c r="A7" s="2" t="s">
        <v>363</v>
      </c>
      <c r="B7" s="558">
        <f>5+12</f>
        <v>17</v>
      </c>
      <c r="C7" s="17">
        <v>76</v>
      </c>
      <c r="D7" s="158">
        <v>194</v>
      </c>
      <c r="E7" s="18">
        <f>C7/(C7+D7)</f>
        <v>0.2814814814814815</v>
      </c>
      <c r="F7" s="202">
        <v>22</v>
      </c>
      <c r="G7" s="158"/>
    </row>
    <row r="8" spans="1:7" x14ac:dyDescent="0.2">
      <c r="A8" s="2" t="s">
        <v>364</v>
      </c>
      <c r="B8" s="558">
        <f>18+21</f>
        <v>39</v>
      </c>
      <c r="C8" s="17">
        <v>430</v>
      </c>
      <c r="D8" s="158">
        <v>493</v>
      </c>
      <c r="E8" s="18">
        <f>C8/(C8+D8)</f>
        <v>0.46587215601300108</v>
      </c>
      <c r="F8" s="202">
        <v>56</v>
      </c>
      <c r="G8" s="158"/>
    </row>
    <row r="9" spans="1:7" x14ac:dyDescent="0.2">
      <c r="A9" s="2" t="s">
        <v>365</v>
      </c>
      <c r="B9" s="558">
        <f>14+10</f>
        <v>24</v>
      </c>
      <c r="C9" s="17">
        <v>471</v>
      </c>
      <c r="D9" s="158">
        <v>347</v>
      </c>
      <c r="E9" s="18">
        <f>C9/(C9+D9)</f>
        <v>0.57579462102689483</v>
      </c>
      <c r="F9" s="202">
        <v>50</v>
      </c>
      <c r="G9" s="158"/>
    </row>
    <row r="10" spans="1:7" x14ac:dyDescent="0.2">
      <c r="A10" s="2" t="s">
        <v>366</v>
      </c>
      <c r="B10" s="558">
        <f>11+10</f>
        <v>21</v>
      </c>
      <c r="C10" s="17">
        <v>600</v>
      </c>
      <c r="D10" s="158">
        <v>541</v>
      </c>
      <c r="E10" s="18">
        <f>C10/(C10+D10)</f>
        <v>0.52585451358457491</v>
      </c>
      <c r="F10" s="202">
        <v>47</v>
      </c>
      <c r="G10" s="158"/>
    </row>
    <row r="11" spans="1:7" x14ac:dyDescent="0.2">
      <c r="B11" s="516"/>
    </row>
    <row r="12" spans="1:7" x14ac:dyDescent="0.2">
      <c r="A12" s="2" t="s">
        <v>931</v>
      </c>
    </row>
  </sheetData>
  <mergeCells count="2">
    <mergeCell ref="C3:E3"/>
    <mergeCell ref="E4:G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opLeftCell="A7" zoomScaleNormal="100" workbookViewId="0">
      <selection activeCell="A3" sqref="A3"/>
    </sheetView>
  </sheetViews>
  <sheetFormatPr baseColWidth="10" defaultColWidth="9.140625" defaultRowHeight="11.25" x14ac:dyDescent="0.2"/>
  <cols>
    <col min="1" max="1" width="24.28515625" style="20" customWidth="1"/>
    <col min="2" max="4" width="9.140625" style="20"/>
    <col min="5" max="5" width="9.5703125" style="20" bestFit="1" customWidth="1"/>
    <col min="6" max="6" width="9.140625" style="20"/>
    <col min="7" max="7" width="11.140625" style="20" customWidth="1"/>
    <col min="8" max="10" width="14.28515625" style="20" customWidth="1"/>
    <col min="11" max="16384" width="9.140625" style="20"/>
  </cols>
  <sheetData>
    <row r="1" spans="1:10" x14ac:dyDescent="0.2">
      <c r="A1" s="19" t="s">
        <v>795</v>
      </c>
    </row>
    <row r="2" spans="1:10" x14ac:dyDescent="0.2">
      <c r="A2" s="19"/>
    </row>
    <row r="3" spans="1:10" ht="33.75" x14ac:dyDescent="0.2">
      <c r="B3" s="691" t="s">
        <v>902</v>
      </c>
      <c r="C3" s="691"/>
      <c r="D3" s="691"/>
      <c r="E3" s="691"/>
      <c r="F3" s="121" t="s">
        <v>907</v>
      </c>
      <c r="G3" s="121" t="s">
        <v>652</v>
      </c>
      <c r="H3" s="121" t="s">
        <v>653</v>
      </c>
      <c r="I3" s="121" t="s">
        <v>654</v>
      </c>
      <c r="J3" s="121" t="s">
        <v>655</v>
      </c>
    </row>
    <row r="4" spans="1:10" ht="22.5" x14ac:dyDescent="0.2">
      <c r="B4" s="19" t="s">
        <v>4</v>
      </c>
      <c r="C4" s="19" t="s">
        <v>5</v>
      </c>
      <c r="D4" s="19" t="s">
        <v>6</v>
      </c>
      <c r="E4" s="121" t="s">
        <v>7</v>
      </c>
      <c r="F4" s="121" t="s">
        <v>7</v>
      </c>
      <c r="G4" s="121" t="s">
        <v>7</v>
      </c>
      <c r="H4" s="121" t="s">
        <v>7</v>
      </c>
      <c r="I4" s="121" t="s">
        <v>7</v>
      </c>
      <c r="J4" s="121" t="s">
        <v>7</v>
      </c>
    </row>
    <row r="5" spans="1:10" x14ac:dyDescent="0.2">
      <c r="A5" s="19" t="s">
        <v>796</v>
      </c>
    </row>
    <row r="6" spans="1:10" x14ac:dyDescent="0.2">
      <c r="A6" s="20" t="s">
        <v>797</v>
      </c>
      <c r="B6" s="20">
        <v>9</v>
      </c>
      <c r="C6" s="20">
        <v>12</v>
      </c>
      <c r="D6" s="20">
        <f>(B6+C6)</f>
        <v>21</v>
      </c>
      <c r="E6" s="506">
        <f>(B6*100)/D6</f>
        <v>42.857142857142854</v>
      </c>
      <c r="F6" s="230">
        <v>0.42857142857142855</v>
      </c>
      <c r="G6" s="298">
        <v>0.38095238095238093</v>
      </c>
      <c r="H6" s="298">
        <v>0.41</v>
      </c>
      <c r="I6" s="298">
        <v>0.28999999999999998</v>
      </c>
      <c r="J6" s="298">
        <v>0.28999999999999998</v>
      </c>
    </row>
    <row r="7" spans="1:10" x14ac:dyDescent="0.2">
      <c r="A7" s="20" t="s">
        <v>798</v>
      </c>
      <c r="B7" s="20">
        <v>0</v>
      </c>
      <c r="C7" s="20">
        <v>10</v>
      </c>
      <c r="D7" s="20">
        <f>(B7+C7)</f>
        <v>10</v>
      </c>
      <c r="E7" s="506">
        <f>(B7*100)/D7</f>
        <v>0</v>
      </c>
      <c r="F7" s="230">
        <v>9.0909090909090912E-2</v>
      </c>
      <c r="G7" s="298">
        <v>9.0909090909090912E-2</v>
      </c>
      <c r="H7" s="298">
        <v>0.08</v>
      </c>
      <c r="I7" s="298">
        <v>0.09</v>
      </c>
      <c r="J7" s="298">
        <v>0.27</v>
      </c>
    </row>
    <row r="8" spans="1:10" x14ac:dyDescent="0.2">
      <c r="A8" s="20" t="s">
        <v>722</v>
      </c>
      <c r="B8" s="20">
        <v>11</v>
      </c>
      <c r="C8" s="20">
        <v>21</v>
      </c>
      <c r="D8" s="20">
        <f>(B8+C8)</f>
        <v>32</v>
      </c>
      <c r="E8" s="506">
        <f>(B8*100)/D8</f>
        <v>34.375</v>
      </c>
      <c r="F8" s="230">
        <v>0.33333333333333331</v>
      </c>
      <c r="G8" s="298">
        <v>0.27272727272727271</v>
      </c>
      <c r="H8" s="298">
        <v>0.3</v>
      </c>
      <c r="I8" s="298">
        <v>0.3</v>
      </c>
      <c r="J8" s="298">
        <v>0.24</v>
      </c>
    </row>
    <row r="9" spans="1:10" x14ac:dyDescent="0.2">
      <c r="A9" s="20" t="s">
        <v>799</v>
      </c>
      <c r="B9" s="20">
        <v>2</v>
      </c>
      <c r="C9" s="20">
        <v>2</v>
      </c>
      <c r="D9" s="20">
        <f>(B9+C9)</f>
        <v>4</v>
      </c>
      <c r="E9" s="506">
        <f>(B9*100)/D9</f>
        <v>50</v>
      </c>
      <c r="F9" s="230">
        <v>0.5714285714285714</v>
      </c>
      <c r="G9" s="298">
        <v>0.5</v>
      </c>
      <c r="H9" s="298">
        <v>0.37</v>
      </c>
      <c r="I9" s="298">
        <v>0.28999999999999998</v>
      </c>
      <c r="J9" s="298">
        <v>0.14000000000000001</v>
      </c>
    </row>
    <row r="10" spans="1:10" x14ac:dyDescent="0.2">
      <c r="A10" s="19" t="s">
        <v>6</v>
      </c>
      <c r="B10" s="19">
        <f>SUM(B6:B9)</f>
        <v>22</v>
      </c>
      <c r="C10" s="19">
        <f>SUM(C6:C9)</f>
        <v>45</v>
      </c>
      <c r="D10" s="19">
        <f>SUM(D6:D9)</f>
        <v>67</v>
      </c>
      <c r="E10" s="506">
        <f>(B10*100)/D10</f>
        <v>32.835820895522389</v>
      </c>
      <c r="F10" s="230">
        <v>0.34666666666666668</v>
      </c>
      <c r="G10" s="230">
        <v>0.30136986301369861</v>
      </c>
      <c r="H10" s="230">
        <v>0.31</v>
      </c>
      <c r="I10" s="230">
        <v>0.26</v>
      </c>
      <c r="J10" s="230">
        <v>0.25</v>
      </c>
    </row>
    <row r="11" spans="1:10" x14ac:dyDescent="0.2">
      <c r="A11" s="19" t="s">
        <v>800</v>
      </c>
      <c r="E11" s="230"/>
      <c r="F11" s="230"/>
      <c r="G11" s="298"/>
      <c r="H11" s="298"/>
      <c r="I11" s="298"/>
      <c r="J11" s="298"/>
    </row>
    <row r="12" spans="1:10" x14ac:dyDescent="0.2">
      <c r="A12" s="20" t="s">
        <v>801</v>
      </c>
      <c r="E12" s="230"/>
      <c r="F12" s="230">
        <v>0.33333333333333331</v>
      </c>
      <c r="G12" s="298">
        <v>0.35294117647058826</v>
      </c>
      <c r="H12" s="298">
        <v>0.38</v>
      </c>
      <c r="I12" s="298">
        <v>0.24</v>
      </c>
      <c r="J12" s="298">
        <v>0.2</v>
      </c>
    </row>
    <row r="13" spans="1:10" x14ac:dyDescent="0.2">
      <c r="A13" s="20" t="s">
        <v>802</v>
      </c>
      <c r="E13" s="230"/>
      <c r="F13" s="230">
        <v>0.34090909090909088</v>
      </c>
      <c r="G13" s="298">
        <v>0.2413793103448276</v>
      </c>
      <c r="H13" s="298">
        <v>0.31</v>
      </c>
      <c r="I13" s="298">
        <v>0.31</v>
      </c>
      <c r="J13" s="298">
        <v>0.3</v>
      </c>
    </row>
    <row r="14" spans="1:10" x14ac:dyDescent="0.2">
      <c r="A14" s="20" t="s">
        <v>803</v>
      </c>
      <c r="E14" s="230"/>
      <c r="F14" s="230">
        <v>0.38461538461538464</v>
      </c>
      <c r="G14" s="298">
        <v>0.3</v>
      </c>
      <c r="H14" s="298">
        <v>0.15</v>
      </c>
      <c r="I14" s="298">
        <v>0.18</v>
      </c>
      <c r="J14" s="298">
        <v>0.18</v>
      </c>
    </row>
    <row r="15" spans="1:10" x14ac:dyDescent="0.2">
      <c r="A15" s="19" t="s">
        <v>6</v>
      </c>
      <c r="B15" s="19"/>
      <c r="C15" s="19"/>
      <c r="D15" s="19"/>
      <c r="E15" s="230"/>
      <c r="F15" s="230">
        <v>0.34666666666666668</v>
      </c>
      <c r="G15" s="230">
        <v>0.30136986301369861</v>
      </c>
      <c r="H15" s="230">
        <v>0.31</v>
      </c>
      <c r="I15" s="230">
        <v>0.26</v>
      </c>
      <c r="J15" s="230">
        <v>0.25</v>
      </c>
    </row>
    <row r="16" spans="1:10" x14ac:dyDescent="0.2">
      <c r="A16" s="20" t="s">
        <v>804</v>
      </c>
      <c r="E16" s="298"/>
      <c r="F16" s="298"/>
      <c r="G16" s="298"/>
      <c r="H16" s="298"/>
      <c r="I16" s="298"/>
      <c r="J16" s="298"/>
    </row>
    <row r="17" spans="1:10" ht="129" customHeight="1" x14ac:dyDescent="0.2">
      <c r="A17" s="692" t="s">
        <v>904</v>
      </c>
      <c r="B17" s="692"/>
      <c r="C17" s="692"/>
      <c r="D17" s="692"/>
      <c r="E17" s="692"/>
      <c r="F17" s="692"/>
      <c r="G17" s="692"/>
      <c r="H17" s="692"/>
      <c r="I17" s="298"/>
      <c r="J17" s="298"/>
    </row>
    <row r="18" spans="1:10" ht="62.25" customHeight="1" x14ac:dyDescent="0.2">
      <c r="A18" s="692" t="s">
        <v>905</v>
      </c>
      <c r="B18" s="692"/>
      <c r="C18" s="692"/>
      <c r="D18" s="692"/>
      <c r="E18" s="692"/>
      <c r="F18" s="692"/>
      <c r="G18" s="692"/>
      <c r="H18" s="692"/>
    </row>
    <row r="19" spans="1:10" ht="51.75" customHeight="1" x14ac:dyDescent="0.2">
      <c r="A19" s="692" t="s">
        <v>906</v>
      </c>
      <c r="B19" s="692"/>
      <c r="C19" s="692"/>
      <c r="D19" s="692"/>
      <c r="E19" s="692"/>
      <c r="F19" s="692"/>
      <c r="G19" s="692"/>
      <c r="H19" s="692"/>
    </row>
    <row r="20" spans="1:10" ht="9.75" customHeight="1" x14ac:dyDescent="0.2">
      <c r="A20" s="497"/>
      <c r="B20" s="497"/>
      <c r="C20" s="497"/>
      <c r="D20" s="497"/>
      <c r="E20" s="497"/>
      <c r="F20" s="497"/>
      <c r="G20" s="497"/>
      <c r="H20" s="497"/>
    </row>
    <row r="21" spans="1:10" x14ac:dyDescent="0.2">
      <c r="A21" s="20" t="s">
        <v>908</v>
      </c>
    </row>
  </sheetData>
  <mergeCells count="4">
    <mergeCell ref="B3:E3"/>
    <mergeCell ref="A17:H17"/>
    <mergeCell ref="A18:H18"/>
    <mergeCell ref="A19:H19"/>
  </mergeCells>
  <pageMargins left="0.78749999999999998" right="0.78749999999999998" top="1.0249999999999999" bottom="1.0249999999999999" header="0.78749999999999998" footer="0.78749999999999998"/>
  <pageSetup paperSize="9" scale="87" firstPageNumber="0" orientation="landscape" r:id="rId1"/>
  <headerFooter>
    <oddHeader>&amp;C&amp;"Arial,Normal"&amp;10&amp;A</oddHeader>
    <oddFooter>&amp;C&amp;"Arial,Normal"&amp;10Page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workbookViewId="0">
      <selection activeCell="A8" sqref="A8"/>
    </sheetView>
  </sheetViews>
  <sheetFormatPr baseColWidth="10" defaultColWidth="9.140625" defaultRowHeight="11.25" x14ac:dyDescent="0.2"/>
  <cols>
    <col min="1" max="1" width="21" style="20" customWidth="1"/>
    <col min="2" max="13" width="9.140625" style="20"/>
    <col min="14" max="14" width="17.42578125" style="20" bestFit="1" customWidth="1"/>
    <col min="15" max="16384" width="9.140625" style="20"/>
  </cols>
  <sheetData>
    <row r="1" spans="1:16" x14ac:dyDescent="0.2">
      <c r="A1" s="19" t="s">
        <v>641</v>
      </c>
      <c r="B1" s="19"/>
      <c r="C1" s="19"/>
      <c r="D1" s="19"/>
      <c r="E1" s="19"/>
      <c r="F1" s="19"/>
      <c r="G1" s="19"/>
      <c r="H1" s="19"/>
      <c r="I1" s="19"/>
    </row>
    <row r="2" spans="1:16" x14ac:dyDescent="0.2">
      <c r="A2" s="19"/>
      <c r="B2" s="19"/>
      <c r="C2" s="19"/>
      <c r="D2" s="19"/>
      <c r="E2" s="19"/>
      <c r="F2" s="19"/>
      <c r="G2" s="19"/>
      <c r="H2" s="19"/>
      <c r="I2" s="19"/>
    </row>
    <row r="3" spans="1:16" x14ac:dyDescent="0.2">
      <c r="B3" s="697" t="s">
        <v>17</v>
      </c>
      <c r="C3" s="697"/>
      <c r="D3" s="697"/>
      <c r="E3" s="697"/>
      <c r="F3" s="697" t="s">
        <v>3</v>
      </c>
      <c r="G3" s="697"/>
      <c r="H3" s="697"/>
      <c r="I3" s="697"/>
      <c r="J3" s="697" t="s">
        <v>2</v>
      </c>
      <c r="K3" s="697"/>
      <c r="L3" s="697"/>
      <c r="M3" s="697"/>
      <c r="N3" s="70" t="s">
        <v>654</v>
      </c>
      <c r="O3" s="70" t="s">
        <v>655</v>
      </c>
    </row>
    <row r="4" spans="1:16" ht="22.5" x14ac:dyDescent="0.2">
      <c r="B4" s="19" t="s">
        <v>4</v>
      </c>
      <c r="C4" s="19" t="s">
        <v>5</v>
      </c>
      <c r="D4" s="204" t="s">
        <v>6</v>
      </c>
      <c r="E4" s="29" t="s">
        <v>7</v>
      </c>
      <c r="F4" s="19" t="s">
        <v>4</v>
      </c>
      <c r="G4" s="19" t="s">
        <v>5</v>
      </c>
      <c r="H4" s="19" t="s">
        <v>6</v>
      </c>
      <c r="I4" s="28" t="s">
        <v>7</v>
      </c>
      <c r="J4" s="19" t="s">
        <v>4</v>
      </c>
      <c r="K4" s="19" t="s">
        <v>5</v>
      </c>
      <c r="L4" s="19" t="s">
        <v>6</v>
      </c>
      <c r="M4" s="28" t="s">
        <v>7</v>
      </c>
      <c r="N4" s="29" t="s">
        <v>7</v>
      </c>
      <c r="O4" s="29" t="s">
        <v>7</v>
      </c>
    </row>
    <row r="5" spans="1:16" ht="62.65" customHeight="1" x14ac:dyDescent="0.2">
      <c r="A5" s="49" t="s">
        <v>18</v>
      </c>
      <c r="B5" s="20">
        <v>13</v>
      </c>
      <c r="C5" s="20">
        <v>17</v>
      </c>
      <c r="D5" s="23">
        <f>B5+C5</f>
        <v>30</v>
      </c>
      <c r="E5" s="108">
        <f>B5/D5</f>
        <v>0.43333333333333335</v>
      </c>
      <c r="F5" s="49">
        <v>14</v>
      </c>
      <c r="G5" s="49">
        <v>16</v>
      </c>
      <c r="H5" s="49">
        <v>30</v>
      </c>
      <c r="I5" s="205">
        <v>0.46</v>
      </c>
      <c r="J5" s="20">
        <v>13</v>
      </c>
      <c r="K5" s="20">
        <v>17</v>
      </c>
      <c r="L5" s="20">
        <f>J5+K5</f>
        <v>30</v>
      </c>
      <c r="M5" s="105">
        <f>J5/L5</f>
        <v>0.43333333333333335</v>
      </c>
      <c r="N5" s="108">
        <v>0.33</v>
      </c>
      <c r="O5" s="108">
        <v>0.37</v>
      </c>
    </row>
    <row r="6" spans="1:16" x14ac:dyDescent="0.2">
      <c r="A6" s="20" t="s">
        <v>19</v>
      </c>
    </row>
    <row r="7" spans="1:16" x14ac:dyDescent="0.2">
      <c r="A7" s="20" t="s">
        <v>20</v>
      </c>
    </row>
    <row r="9" spans="1:16" x14ac:dyDescent="0.2">
      <c r="A9" s="742" t="s">
        <v>932</v>
      </c>
      <c r="B9" s="742"/>
      <c r="C9" s="742"/>
      <c r="D9" s="742"/>
      <c r="E9" s="742"/>
      <c r="F9" s="742"/>
      <c r="G9" s="408"/>
      <c r="H9" s="408"/>
      <c r="I9" s="408"/>
      <c r="J9" s="408"/>
      <c r="K9" s="408"/>
      <c r="L9" s="408"/>
      <c r="M9" s="408"/>
      <c r="N9" s="408"/>
      <c r="O9" s="408"/>
      <c r="P9" s="408"/>
    </row>
    <row r="10" spans="1:16" x14ac:dyDescent="0.2">
      <c r="A10" s="742" t="s">
        <v>21</v>
      </c>
      <c r="B10" s="742"/>
      <c r="C10" s="742"/>
      <c r="D10" s="742"/>
      <c r="E10" s="742"/>
      <c r="F10" s="742"/>
      <c r="G10" s="742"/>
      <c r="H10" s="742"/>
      <c r="I10" s="742"/>
      <c r="J10" s="742"/>
      <c r="K10" s="742"/>
      <c r="L10" s="742"/>
      <c r="M10" s="742"/>
      <c r="N10" s="408"/>
      <c r="O10" s="408"/>
      <c r="P10" s="408"/>
    </row>
    <row r="11" spans="1:16" x14ac:dyDescent="0.2">
      <c r="A11" s="742" t="s">
        <v>22</v>
      </c>
      <c r="B11" s="742"/>
      <c r="C11" s="742"/>
      <c r="D11" s="742"/>
      <c r="E11" s="742"/>
      <c r="F11" s="742"/>
      <c r="G11" s="742"/>
      <c r="H11" s="742"/>
      <c r="I11" s="742"/>
      <c r="J11" s="560"/>
      <c r="K11" s="560"/>
      <c r="L11" s="560"/>
      <c r="M11" s="560"/>
      <c r="N11" s="408"/>
      <c r="O11" s="408"/>
      <c r="P11" s="408"/>
    </row>
    <row r="12" spans="1:16" x14ac:dyDescent="0.2">
      <c r="A12" s="561" t="s">
        <v>642</v>
      </c>
      <c r="B12" s="561"/>
      <c r="C12" s="561"/>
      <c r="D12" s="561"/>
      <c r="E12" s="408"/>
      <c r="F12" s="408"/>
      <c r="G12" s="408"/>
      <c r="H12" s="408"/>
      <c r="I12" s="408"/>
      <c r="J12" s="408"/>
      <c r="K12" s="408"/>
      <c r="L12" s="408"/>
      <c r="M12" s="408"/>
      <c r="N12" s="408"/>
      <c r="O12" s="408"/>
      <c r="P12" s="408"/>
    </row>
    <row r="13" spans="1:16" x14ac:dyDescent="0.2">
      <c r="A13" s="742" t="s">
        <v>23</v>
      </c>
      <c r="B13" s="742"/>
      <c r="C13" s="742"/>
      <c r="D13" s="742"/>
      <c r="E13" s="742"/>
      <c r="F13" s="742"/>
      <c r="G13" s="742"/>
      <c r="H13" s="742"/>
      <c r="I13" s="742"/>
      <c r="J13" s="742"/>
      <c r="K13" s="742"/>
      <c r="L13" s="742"/>
      <c r="M13" s="742"/>
      <c r="N13" s="742"/>
      <c r="O13" s="742"/>
      <c r="P13" s="742"/>
    </row>
    <row r="15" spans="1:16" x14ac:dyDescent="0.2">
      <c r="A15" s="20" t="s">
        <v>657</v>
      </c>
    </row>
    <row r="23" spans="1:1" x14ac:dyDescent="0.2">
      <c r="A23" s="20" t="s">
        <v>794</v>
      </c>
    </row>
  </sheetData>
  <mergeCells count="7">
    <mergeCell ref="A13:P13"/>
    <mergeCell ref="B3:E3"/>
    <mergeCell ref="F3:I3"/>
    <mergeCell ref="J3:M3"/>
    <mergeCell ref="A9:F9"/>
    <mergeCell ref="A10:M10"/>
    <mergeCell ref="A11:I11"/>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Normal="100" workbookViewId="0">
      <selection activeCell="A16" sqref="A16:G16"/>
    </sheetView>
  </sheetViews>
  <sheetFormatPr baseColWidth="10" defaultColWidth="9.140625" defaultRowHeight="11.25" x14ac:dyDescent="0.2"/>
  <cols>
    <col min="1" max="1" width="20.85546875" style="20" customWidth="1"/>
    <col min="2" max="2" width="10.5703125" style="20" customWidth="1"/>
    <col min="3" max="3" width="9.140625" style="20" customWidth="1"/>
    <col min="4" max="4" width="8.7109375" style="20" customWidth="1"/>
    <col min="5" max="5" width="16.85546875" style="20" customWidth="1"/>
    <col min="6" max="8" width="9.140625" style="20"/>
    <col min="9" max="9" width="15.42578125" style="20" customWidth="1"/>
    <col min="10" max="10" width="19.42578125" style="20" customWidth="1"/>
    <col min="11" max="11" width="17.7109375" style="20" customWidth="1"/>
    <col min="12" max="12" width="18.140625" style="20" customWidth="1"/>
    <col min="13" max="16384" width="9.140625" style="20"/>
  </cols>
  <sheetData>
    <row r="1" spans="1:15" x14ac:dyDescent="0.2">
      <c r="A1" s="19" t="s">
        <v>460</v>
      </c>
      <c r="B1" s="19"/>
      <c r="C1" s="19"/>
      <c r="D1" s="19"/>
      <c r="E1" s="19"/>
    </row>
    <row r="2" spans="1:15" x14ac:dyDescent="0.2">
      <c r="A2" s="19"/>
      <c r="B2" s="19"/>
      <c r="C2" s="19"/>
      <c r="D2" s="19"/>
      <c r="E2" s="19"/>
    </row>
    <row r="3" spans="1:15" x14ac:dyDescent="0.2">
      <c r="B3" s="743" t="s">
        <v>461</v>
      </c>
      <c r="C3" s="744"/>
      <c r="D3" s="744"/>
      <c r="E3" s="745"/>
      <c r="F3" s="711" t="s">
        <v>651</v>
      </c>
      <c r="G3" s="712"/>
      <c r="H3" s="712"/>
      <c r="I3" s="713"/>
      <c r="J3" s="206" t="s">
        <v>652</v>
      </c>
      <c r="K3" s="206" t="s">
        <v>653</v>
      </c>
      <c r="L3" s="206" t="s">
        <v>654</v>
      </c>
    </row>
    <row r="4" spans="1:15" s="207" customFormat="1" x14ac:dyDescent="0.2">
      <c r="B4" s="208" t="s">
        <v>4</v>
      </c>
      <c r="C4" s="208" t="s">
        <v>5</v>
      </c>
      <c r="D4" s="208" t="s">
        <v>6</v>
      </c>
      <c r="E4" s="208" t="s">
        <v>7</v>
      </c>
      <c r="F4" s="208" t="s">
        <v>4</v>
      </c>
      <c r="G4" s="208" t="s">
        <v>5</v>
      </c>
      <c r="H4" s="208" t="s">
        <v>6</v>
      </c>
      <c r="I4" s="208" t="s">
        <v>7</v>
      </c>
      <c r="J4" s="208" t="s">
        <v>7</v>
      </c>
      <c r="K4" s="208" t="s">
        <v>7</v>
      </c>
      <c r="L4" s="208" t="s">
        <v>7</v>
      </c>
    </row>
    <row r="5" spans="1:15" x14ac:dyDescent="0.2">
      <c r="A5" s="206" t="s">
        <v>462</v>
      </c>
      <c r="B5" s="209"/>
      <c r="C5" s="210"/>
      <c r="D5" s="210"/>
      <c r="E5" s="211"/>
      <c r="F5" s="209"/>
      <c r="G5" s="210"/>
      <c r="H5" s="210"/>
      <c r="I5" s="211"/>
      <c r="J5" s="206"/>
      <c r="K5" s="206"/>
      <c r="L5" s="206"/>
    </row>
    <row r="6" spans="1:15" ht="32.85" customHeight="1" x14ac:dyDescent="0.2">
      <c r="A6" s="212" t="s">
        <v>463</v>
      </c>
      <c r="B6" s="213">
        <v>12</v>
      </c>
      <c r="C6" s="214">
        <v>25</v>
      </c>
      <c r="D6" s="214">
        <f>B6+C6</f>
        <v>37</v>
      </c>
      <c r="E6" s="215">
        <f>B6/D6</f>
        <v>0.32432432432432434</v>
      </c>
      <c r="F6" s="213">
        <v>12</v>
      </c>
      <c r="G6" s="214">
        <v>24</v>
      </c>
      <c r="H6" s="214">
        <f>F6+G6</f>
        <v>36</v>
      </c>
      <c r="I6" s="105">
        <f>F6/H6</f>
        <v>0.33333333333333331</v>
      </c>
      <c r="J6" s="36">
        <v>0.32500000000000001</v>
      </c>
      <c r="K6" s="36">
        <v>0.3</v>
      </c>
      <c r="L6" s="36">
        <v>0.3</v>
      </c>
    </row>
    <row r="7" spans="1:15" ht="73.5" customHeight="1" x14ac:dyDescent="0.2">
      <c r="A7" s="216" t="s">
        <v>464</v>
      </c>
      <c r="B7" s="217">
        <v>16</v>
      </c>
      <c r="C7" s="218">
        <v>42</v>
      </c>
      <c r="D7" s="218">
        <f>B7+C7</f>
        <v>58</v>
      </c>
      <c r="E7" s="219">
        <f>B7/D7</f>
        <v>0.27586206896551724</v>
      </c>
      <c r="F7" s="110">
        <v>19</v>
      </c>
      <c r="G7" s="111">
        <v>43</v>
      </c>
      <c r="H7" s="111">
        <f>F7+G7</f>
        <v>62</v>
      </c>
      <c r="I7" s="112">
        <f>F7/H7</f>
        <v>0.30645161290322581</v>
      </c>
      <c r="J7" s="95">
        <v>0.3</v>
      </c>
      <c r="K7" s="95">
        <v>0.27</v>
      </c>
      <c r="L7" s="95">
        <v>0.2</v>
      </c>
      <c r="O7" s="220"/>
    </row>
    <row r="8" spans="1:15" x14ac:dyDescent="0.2">
      <c r="A8" s="29" t="s">
        <v>465</v>
      </c>
      <c r="B8" s="221"/>
      <c r="C8" s="222"/>
      <c r="D8" s="222"/>
      <c r="E8" s="215"/>
      <c r="F8" s="32"/>
      <c r="G8" s="30"/>
      <c r="H8" s="30"/>
      <c r="I8" s="105"/>
      <c r="J8" s="36"/>
      <c r="K8" s="36"/>
      <c r="L8" s="36"/>
    </row>
    <row r="9" spans="1:15" x14ac:dyDescent="0.2">
      <c r="A9" s="212" t="s">
        <v>134</v>
      </c>
      <c r="B9" s="213">
        <v>7</v>
      </c>
      <c r="C9" s="214">
        <v>14</v>
      </c>
      <c r="D9" s="214">
        <f>B9+C9</f>
        <v>21</v>
      </c>
      <c r="E9" s="215">
        <f t="shared" ref="E9:E14" si="0">B9/D9</f>
        <v>0.33333333333333331</v>
      </c>
      <c r="F9" s="32">
        <v>8</v>
      </c>
      <c r="G9" s="30">
        <v>13</v>
      </c>
      <c r="H9" s="30">
        <v>21</v>
      </c>
      <c r="I9" s="105">
        <f t="shared" ref="I9:I14" si="1">F9/H9</f>
        <v>0.38095238095238093</v>
      </c>
      <c r="J9" s="36"/>
      <c r="K9" s="36"/>
      <c r="L9" s="36"/>
    </row>
    <row r="10" spans="1:15" x14ac:dyDescent="0.2">
      <c r="A10" s="212" t="s">
        <v>133</v>
      </c>
      <c r="B10" s="213">
        <v>14</v>
      </c>
      <c r="C10" s="214">
        <v>27</v>
      </c>
      <c r="D10" s="214">
        <f>B10+C10</f>
        <v>41</v>
      </c>
      <c r="E10" s="215">
        <f t="shared" si="0"/>
        <v>0.34146341463414637</v>
      </c>
      <c r="F10" s="32">
        <f>2+13</f>
        <v>15</v>
      </c>
      <c r="G10" s="30">
        <f>8+18</f>
        <v>26</v>
      </c>
      <c r="H10" s="30">
        <v>41</v>
      </c>
      <c r="I10" s="105">
        <f t="shared" si="1"/>
        <v>0.36585365853658536</v>
      </c>
      <c r="J10" s="36"/>
      <c r="K10" s="36"/>
      <c r="L10" s="36"/>
    </row>
    <row r="11" spans="1:15" x14ac:dyDescent="0.2">
      <c r="A11" s="212" t="s">
        <v>245</v>
      </c>
      <c r="B11" s="213">
        <v>1</v>
      </c>
      <c r="C11" s="214">
        <v>1</v>
      </c>
      <c r="D11" s="214">
        <f>B11+C11</f>
        <v>2</v>
      </c>
      <c r="E11" s="215">
        <f t="shared" si="0"/>
        <v>0.5</v>
      </c>
      <c r="F11" s="32">
        <v>1</v>
      </c>
      <c r="G11" s="30">
        <v>1</v>
      </c>
      <c r="H11" s="30">
        <v>2</v>
      </c>
      <c r="I11" s="105">
        <f t="shared" si="1"/>
        <v>0.5</v>
      </c>
      <c r="J11" s="36"/>
      <c r="K11" s="36"/>
      <c r="L11" s="36"/>
    </row>
    <row r="12" spans="1:15" x14ac:dyDescent="0.2">
      <c r="A12" s="212" t="s">
        <v>136</v>
      </c>
      <c r="B12" s="213">
        <v>1</v>
      </c>
      <c r="C12" s="214">
        <v>0</v>
      </c>
      <c r="D12" s="214">
        <f>B12+C12</f>
        <v>1</v>
      </c>
      <c r="E12" s="215">
        <f t="shared" si="0"/>
        <v>1</v>
      </c>
      <c r="F12" s="32">
        <v>1</v>
      </c>
      <c r="G12" s="30">
        <v>1</v>
      </c>
      <c r="H12" s="30">
        <v>2</v>
      </c>
      <c r="I12" s="105">
        <f t="shared" si="1"/>
        <v>0.5</v>
      </c>
      <c r="J12" s="36"/>
      <c r="K12" s="36"/>
      <c r="L12" s="36"/>
    </row>
    <row r="13" spans="1:15" x14ac:dyDescent="0.2">
      <c r="A13" s="212" t="s">
        <v>135</v>
      </c>
      <c r="B13" s="213">
        <v>5</v>
      </c>
      <c r="C13" s="214">
        <v>25</v>
      </c>
      <c r="D13" s="214">
        <f>B13+C13</f>
        <v>30</v>
      </c>
      <c r="E13" s="215">
        <f t="shared" si="0"/>
        <v>0.16666666666666666</v>
      </c>
      <c r="F13" s="32">
        <f>1+1+1+2+1</f>
        <v>6</v>
      </c>
      <c r="G13" s="30">
        <f>2+1+3+1+1+1+5+3+1+8</f>
        <v>26</v>
      </c>
      <c r="H13" s="30">
        <f>32</f>
        <v>32</v>
      </c>
      <c r="I13" s="105">
        <f t="shared" si="1"/>
        <v>0.1875</v>
      </c>
      <c r="J13" s="36"/>
      <c r="K13" s="36"/>
      <c r="L13" s="36"/>
    </row>
    <row r="14" spans="1:15" x14ac:dyDescent="0.2">
      <c r="A14" s="223" t="s">
        <v>6</v>
      </c>
      <c r="B14" s="224">
        <f>SUM(B9:B13)</f>
        <v>28</v>
      </c>
      <c r="C14" s="225">
        <f>SUM(C9:C13)</f>
        <v>67</v>
      </c>
      <c r="D14" s="225">
        <f>SUM(D9:D13)</f>
        <v>95</v>
      </c>
      <c r="E14" s="226">
        <f t="shared" si="0"/>
        <v>0.29473684210526313</v>
      </c>
      <c r="F14" s="224">
        <f>SUM(F9:F13)</f>
        <v>31</v>
      </c>
      <c r="G14" s="225">
        <f>SUM(G9:G13)</f>
        <v>67</v>
      </c>
      <c r="H14" s="225">
        <f>SUM(H9:H13)</f>
        <v>98</v>
      </c>
      <c r="I14" s="227">
        <f t="shared" si="1"/>
        <v>0.31632653061224492</v>
      </c>
      <c r="J14" s="228">
        <v>0.31</v>
      </c>
      <c r="K14" s="228">
        <v>0.28000000000000003</v>
      </c>
      <c r="L14" s="228">
        <v>0.24</v>
      </c>
    </row>
    <row r="15" spans="1:15" x14ac:dyDescent="0.2">
      <c r="A15" s="19"/>
      <c r="B15" s="19"/>
      <c r="C15" s="19"/>
      <c r="D15" s="19"/>
      <c r="E15" s="229"/>
      <c r="F15" s="19"/>
      <c r="G15" s="19"/>
      <c r="H15" s="19"/>
      <c r="I15" s="230"/>
      <c r="J15" s="230"/>
      <c r="K15" s="230"/>
      <c r="L15" s="230"/>
    </row>
    <row r="16" spans="1:15" ht="48.75" customHeight="1" x14ac:dyDescent="0.2">
      <c r="A16" s="734" t="s">
        <v>643</v>
      </c>
      <c r="B16" s="734"/>
      <c r="C16" s="734"/>
      <c r="D16" s="734"/>
      <c r="E16" s="734"/>
      <c r="F16" s="734"/>
      <c r="G16" s="734"/>
      <c r="I16" s="231"/>
      <c r="J16" s="220"/>
    </row>
    <row r="18" spans="1:5" x14ac:dyDescent="0.2">
      <c r="A18" s="20" t="s">
        <v>658</v>
      </c>
    </row>
    <row r="19" spans="1:5" x14ac:dyDescent="0.2">
      <c r="A19" s="195"/>
      <c r="B19" s="195"/>
      <c r="C19" s="195"/>
      <c r="D19" s="195"/>
      <c r="E19" s="195"/>
    </row>
    <row r="21" spans="1:5" x14ac:dyDescent="0.2">
      <c r="A21" s="195"/>
      <c r="B21" s="195"/>
      <c r="C21" s="195"/>
      <c r="D21" s="195"/>
      <c r="E21" s="195"/>
    </row>
    <row r="23" spans="1:5" x14ac:dyDescent="0.2">
      <c r="D23" s="20" t="s">
        <v>794</v>
      </c>
    </row>
  </sheetData>
  <mergeCells count="3">
    <mergeCell ref="B3:E3"/>
    <mergeCell ref="F3:I3"/>
    <mergeCell ref="A16:G16"/>
  </mergeCells>
  <pageMargins left="0.25" right="0.25" top="0.75" bottom="0.75" header="0.3" footer="0.3"/>
  <pageSetup paperSize="9" scale="86" firstPageNumber="0" orientation="landscape" r:id="rId1"/>
  <headerFooter>
    <oddHeader>&amp;C&amp;"Arial,Normal"&amp;10&amp;A</oddHeader>
    <oddFooter>&amp;C&amp;"Arial,Normal"&amp;10Page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F21" sqref="F21"/>
    </sheetView>
  </sheetViews>
  <sheetFormatPr baseColWidth="10" defaultColWidth="9.140625" defaultRowHeight="11.25" x14ac:dyDescent="0.2"/>
  <cols>
    <col min="1" max="1" width="36.7109375" style="20" customWidth="1"/>
    <col min="2" max="4" width="11.7109375" style="20" customWidth="1"/>
    <col min="5" max="6" width="17.7109375" style="20" customWidth="1"/>
    <col min="7" max="10" width="19.7109375" style="20" customWidth="1"/>
    <col min="11" max="16384" width="9.140625" style="20"/>
  </cols>
  <sheetData>
    <row r="1" spans="1:10" x14ac:dyDescent="0.2">
      <c r="A1" s="19" t="s">
        <v>665</v>
      </c>
    </row>
    <row r="2" spans="1:10" x14ac:dyDescent="0.2">
      <c r="A2" s="19"/>
    </row>
    <row r="3" spans="1:10" x14ac:dyDescent="0.2">
      <c r="B3" s="691" t="s">
        <v>933</v>
      </c>
      <c r="C3" s="691"/>
      <c r="D3" s="691"/>
      <c r="E3" s="691"/>
      <c r="F3" s="496" t="s">
        <v>934</v>
      </c>
      <c r="G3" s="19" t="s">
        <v>935</v>
      </c>
      <c r="H3" s="19" t="s">
        <v>936</v>
      </c>
      <c r="I3" s="19" t="s">
        <v>937</v>
      </c>
      <c r="J3" s="19" t="s">
        <v>938</v>
      </c>
    </row>
    <row r="4" spans="1:10" x14ac:dyDescent="0.2">
      <c r="B4" s="19" t="s">
        <v>4</v>
      </c>
      <c r="C4" s="19" t="s">
        <v>5</v>
      </c>
      <c r="D4" s="19" t="s">
        <v>6</v>
      </c>
      <c r="E4" s="19" t="s">
        <v>7</v>
      </c>
      <c r="F4" s="19" t="s">
        <v>7</v>
      </c>
      <c r="G4" s="19" t="s">
        <v>7</v>
      </c>
      <c r="H4" s="19" t="s">
        <v>7</v>
      </c>
      <c r="I4" s="19" t="s">
        <v>7</v>
      </c>
      <c r="J4" s="19" t="s">
        <v>7</v>
      </c>
    </row>
    <row r="5" spans="1:10" x14ac:dyDescent="0.2">
      <c r="A5" s="19" t="s">
        <v>666</v>
      </c>
      <c r="E5" s="230"/>
      <c r="F5" s="230"/>
      <c r="G5" s="298"/>
      <c r="H5" s="298"/>
      <c r="I5" s="298"/>
      <c r="J5" s="298"/>
    </row>
    <row r="6" spans="1:10" x14ac:dyDescent="0.2">
      <c r="A6" s="20" t="s">
        <v>667</v>
      </c>
      <c r="B6" s="562">
        <v>7</v>
      </c>
      <c r="C6" s="562">
        <v>36</v>
      </c>
      <c r="D6" s="562">
        <v>43</v>
      </c>
      <c r="E6" s="230">
        <v>0.16279069767441862</v>
      </c>
      <c r="F6" s="230">
        <v>0.1111111111111111</v>
      </c>
      <c r="G6" s="298">
        <v>0.15555555555555556</v>
      </c>
      <c r="H6" s="298">
        <v>9.3023255813953501E-2</v>
      </c>
      <c r="I6" s="298">
        <v>0.09</v>
      </c>
      <c r="J6" s="298">
        <v>0.09</v>
      </c>
    </row>
    <row r="7" spans="1:10" x14ac:dyDescent="0.2">
      <c r="A7" s="296" t="s">
        <v>668</v>
      </c>
      <c r="B7" s="563">
        <v>4</v>
      </c>
      <c r="C7" s="564">
        <v>8</v>
      </c>
      <c r="D7" s="296">
        <v>12</v>
      </c>
      <c r="E7" s="230">
        <v>0.33333333333333331</v>
      </c>
      <c r="F7" s="565">
        <v>0.18181818181818182</v>
      </c>
      <c r="G7" s="566">
        <v>0.27272727272727271</v>
      </c>
      <c r="H7" s="566"/>
      <c r="I7" s="566"/>
      <c r="J7" s="566"/>
    </row>
    <row r="8" spans="1:10" x14ac:dyDescent="0.2">
      <c r="A8" s="296" t="s">
        <v>669</v>
      </c>
      <c r="B8" s="563">
        <v>3</v>
      </c>
      <c r="C8" s="563">
        <v>28</v>
      </c>
      <c r="D8" s="296">
        <v>31</v>
      </c>
      <c r="E8" s="230">
        <v>9.6774193548387094E-2</v>
      </c>
      <c r="F8" s="565">
        <v>8.8235294117647065E-2</v>
      </c>
      <c r="G8" s="566">
        <v>0.11764705882352941</v>
      </c>
      <c r="H8" s="566"/>
      <c r="I8" s="566"/>
      <c r="J8" s="566"/>
    </row>
    <row r="9" spans="1:10" x14ac:dyDescent="0.2">
      <c r="A9" s="49" t="s">
        <v>245</v>
      </c>
      <c r="B9" s="562">
        <v>3</v>
      </c>
      <c r="C9" s="20">
        <v>24</v>
      </c>
      <c r="D9" s="20">
        <v>27</v>
      </c>
      <c r="E9" s="230">
        <v>0.1111111111111111</v>
      </c>
      <c r="F9" s="230">
        <v>6.6666666666666666E-2</v>
      </c>
      <c r="G9" s="298">
        <v>3.4482758620689655E-2</v>
      </c>
      <c r="H9" s="298"/>
      <c r="I9" s="298"/>
      <c r="J9" s="298"/>
    </row>
    <row r="10" spans="1:10" x14ac:dyDescent="0.2">
      <c r="A10" s="49" t="s">
        <v>186</v>
      </c>
      <c r="B10" s="562">
        <v>1</v>
      </c>
      <c r="C10" s="562">
        <v>18</v>
      </c>
      <c r="D10" s="20">
        <v>19</v>
      </c>
      <c r="E10" s="230">
        <v>5.2631578947368418E-2</v>
      </c>
      <c r="F10" s="230">
        <v>0.15789473684210525</v>
      </c>
      <c r="G10" s="298">
        <v>0.19047619047619047</v>
      </c>
      <c r="H10" s="298"/>
      <c r="I10" s="298"/>
      <c r="J10" s="298"/>
    </row>
    <row r="11" spans="1:10" ht="22.5" x14ac:dyDescent="0.2">
      <c r="A11" s="49" t="s">
        <v>670</v>
      </c>
      <c r="B11" s="562">
        <v>0</v>
      </c>
      <c r="C11" s="562">
        <v>11</v>
      </c>
      <c r="D11" s="20">
        <v>11</v>
      </c>
      <c r="E11" s="230">
        <v>0</v>
      </c>
      <c r="F11" s="230">
        <v>0</v>
      </c>
      <c r="G11" s="298">
        <v>0</v>
      </c>
      <c r="H11" s="298"/>
      <c r="I11" s="298"/>
      <c r="J11" s="298"/>
    </row>
    <row r="12" spans="1:10" x14ac:dyDescent="0.2">
      <c r="A12" s="19" t="s">
        <v>6</v>
      </c>
      <c r="B12" s="419">
        <v>11</v>
      </c>
      <c r="C12" s="419">
        <v>89</v>
      </c>
      <c r="D12" s="419">
        <v>100</v>
      </c>
      <c r="E12" s="230">
        <v>0.11</v>
      </c>
      <c r="F12" s="230">
        <v>0.1</v>
      </c>
      <c r="G12" s="230">
        <v>0.12</v>
      </c>
      <c r="H12" s="230">
        <v>7.0000000000000007E-2</v>
      </c>
      <c r="I12" s="230">
        <v>0.08</v>
      </c>
      <c r="J12" s="230">
        <v>7.0000000000000007E-2</v>
      </c>
    </row>
    <row r="13" spans="1:10" ht="22.5" x14ac:dyDescent="0.2">
      <c r="A13" s="49" t="s">
        <v>671</v>
      </c>
      <c r="B13" s="19"/>
      <c r="C13" s="19"/>
      <c r="D13" s="19"/>
      <c r="E13" s="230"/>
      <c r="F13" s="230"/>
      <c r="G13" s="230"/>
      <c r="H13" s="230"/>
      <c r="I13" s="230"/>
      <c r="J13" s="230"/>
    </row>
    <row r="14" spans="1:10" ht="67.5" x14ac:dyDescent="0.2">
      <c r="A14" s="49" t="s">
        <v>672</v>
      </c>
      <c r="B14" s="19"/>
      <c r="C14" s="19"/>
      <c r="D14" s="19"/>
      <c r="E14" s="230"/>
      <c r="F14" s="230"/>
      <c r="G14" s="230"/>
      <c r="H14" s="230"/>
      <c r="I14" s="230"/>
      <c r="J14" s="230"/>
    </row>
    <row r="15" spans="1:10" x14ac:dyDescent="0.2">
      <c r="A15" s="20" t="s">
        <v>673</v>
      </c>
    </row>
    <row r="17" spans="1:4" x14ac:dyDescent="0.2">
      <c r="A17" s="20" t="s">
        <v>939</v>
      </c>
    </row>
    <row r="20" spans="1:4" x14ac:dyDescent="0.2">
      <c r="A20" s="68"/>
    </row>
    <row r="27" spans="1:4" x14ac:dyDescent="0.2">
      <c r="B27" s="418"/>
      <c r="C27" s="418"/>
      <c r="D27" s="418"/>
    </row>
  </sheetData>
  <mergeCells count="1">
    <mergeCell ref="B3:E3"/>
  </mergeCells>
  <pageMargins left="0.78749999999999998" right="0.78749999999999998" top="1.0249999999999999" bottom="1.0249999999999999" header="0.78749999999999998" footer="0.78749999999999998"/>
  <pageSetup paperSize="9" firstPageNumber="0" orientation="portrait" verticalDpi="0" r:id="rId1"/>
  <headerFooter>
    <oddHeader>&amp;C&amp;"Arial,Normal"&amp;10&amp;A</oddHeader>
    <oddFooter>&amp;C&amp;"Arial,Normal"&amp;10Page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A21" sqref="A21"/>
    </sheetView>
  </sheetViews>
  <sheetFormatPr baseColWidth="10" defaultColWidth="9.140625" defaultRowHeight="11.25" x14ac:dyDescent="0.2"/>
  <cols>
    <col min="1" max="1" width="31.140625" style="20" customWidth="1"/>
    <col min="2" max="2" width="9.85546875" style="20" customWidth="1"/>
    <col min="3" max="3" width="9.140625" style="20"/>
    <col min="4" max="4" width="17.42578125" style="20" customWidth="1"/>
    <col min="5" max="5" width="16.5703125" style="20" customWidth="1"/>
    <col min="6" max="6" width="21.28515625" style="20" customWidth="1"/>
    <col min="7" max="16384" width="9.140625" style="20"/>
  </cols>
  <sheetData>
    <row r="1" spans="1:7" x14ac:dyDescent="0.2">
      <c r="A1" s="19" t="s">
        <v>659</v>
      </c>
      <c r="B1" s="19"/>
    </row>
    <row r="2" spans="1:7" x14ac:dyDescent="0.2">
      <c r="A2" s="19"/>
      <c r="B2" s="19"/>
    </row>
    <row r="3" spans="1:7" x14ac:dyDescent="0.2">
      <c r="A3" s="19"/>
      <c r="B3" s="746" t="s">
        <v>3</v>
      </c>
      <c r="C3" s="746"/>
      <c r="D3" s="746"/>
      <c r="E3" s="747"/>
      <c r="F3" s="21" t="s">
        <v>660</v>
      </c>
      <c r="G3" s="21" t="s">
        <v>661</v>
      </c>
    </row>
    <row r="4" spans="1:7" ht="22.5" x14ac:dyDescent="0.2">
      <c r="A4" s="19" t="s">
        <v>560</v>
      </c>
      <c r="B4" s="222" t="s">
        <v>541</v>
      </c>
      <c r="C4" s="27" t="s">
        <v>542</v>
      </c>
      <c r="D4" s="27" t="s">
        <v>543</v>
      </c>
      <c r="E4" s="204" t="s">
        <v>7</v>
      </c>
      <c r="F4" s="21" t="s">
        <v>7</v>
      </c>
      <c r="G4" s="21" t="s">
        <v>7</v>
      </c>
    </row>
    <row r="5" spans="1:7" x14ac:dyDescent="0.2">
      <c r="A5" s="20" t="s">
        <v>561</v>
      </c>
      <c r="B5" s="30">
        <v>55</v>
      </c>
      <c r="C5" s="232">
        <v>1.8867924528301886E-2</v>
      </c>
      <c r="D5" s="232">
        <v>0.54716981132075471</v>
      </c>
      <c r="E5" s="105">
        <v>0.45283018867924529</v>
      </c>
      <c r="F5" s="36">
        <v>0.530612244897959</v>
      </c>
      <c r="G5" s="36">
        <v>0.54</v>
      </c>
    </row>
    <row r="6" spans="1:7" x14ac:dyDescent="0.2">
      <c r="A6" s="20" t="s">
        <v>562</v>
      </c>
      <c r="B6" s="30">
        <v>76</v>
      </c>
      <c r="C6" s="232">
        <v>2.6666666666666668E-2</v>
      </c>
      <c r="D6" s="232">
        <v>0.68</v>
      </c>
      <c r="E6" s="105">
        <v>0.30666666666666664</v>
      </c>
      <c r="F6" s="36">
        <v>0.25333333333333302</v>
      </c>
      <c r="G6" s="36">
        <v>0.27</v>
      </c>
    </row>
    <row r="7" spans="1:7" x14ac:dyDescent="0.2">
      <c r="A7" s="20" t="s">
        <v>563</v>
      </c>
      <c r="B7" s="30">
        <v>84</v>
      </c>
      <c r="C7" s="232">
        <v>6.25E-2</v>
      </c>
      <c r="D7" s="232">
        <v>0.61250000000000004</v>
      </c>
      <c r="E7" s="105">
        <v>0.33750000000000002</v>
      </c>
      <c r="F7" s="36">
        <v>0.31578947368421001</v>
      </c>
      <c r="G7" s="36">
        <v>0.29870129870129902</v>
      </c>
    </row>
    <row r="8" spans="1:7" x14ac:dyDescent="0.2">
      <c r="A8" s="20" t="s">
        <v>564</v>
      </c>
      <c r="B8" s="30">
        <v>110</v>
      </c>
      <c r="C8" s="232">
        <v>1.8181818181818181E-2</v>
      </c>
      <c r="D8" s="232">
        <v>0.75454545454545452</v>
      </c>
      <c r="E8" s="105">
        <v>0.24545454545454545</v>
      </c>
      <c r="F8" s="36">
        <v>0.240740740740741</v>
      </c>
      <c r="G8" s="36">
        <v>0.14912280701754399</v>
      </c>
    </row>
    <row r="9" spans="1:7" x14ac:dyDescent="0.2">
      <c r="A9" s="20" t="s">
        <v>565</v>
      </c>
      <c r="B9" s="30">
        <v>29</v>
      </c>
      <c r="C9" s="232">
        <v>3.4482758620689655E-2</v>
      </c>
      <c r="D9" s="232">
        <v>0.82758620689655171</v>
      </c>
      <c r="E9" s="105">
        <v>0.17241379310344829</v>
      </c>
      <c r="F9" s="36">
        <v>0.2</v>
      </c>
      <c r="G9" s="36">
        <v>0.18518518518518501</v>
      </c>
    </row>
    <row r="10" spans="1:7" x14ac:dyDescent="0.2">
      <c r="A10" s="20" t="s">
        <v>566</v>
      </c>
      <c r="B10" s="30">
        <v>15</v>
      </c>
      <c r="C10" s="232">
        <v>0</v>
      </c>
      <c r="D10" s="232">
        <v>0.6</v>
      </c>
      <c r="E10" s="105">
        <v>0.4</v>
      </c>
      <c r="F10" s="36">
        <v>0.22222222222222199</v>
      </c>
      <c r="G10" s="36">
        <v>5.2631578947368397E-2</v>
      </c>
    </row>
    <row r="11" spans="1:7" x14ac:dyDescent="0.2">
      <c r="A11" s="19" t="s">
        <v>6</v>
      </c>
      <c r="B11" s="27">
        <f>SUM(B5:B10)</f>
        <v>369</v>
      </c>
      <c r="C11" s="233">
        <v>2.9810298102981029E-2</v>
      </c>
      <c r="D11" s="233">
        <v>0.66395663956639561</v>
      </c>
      <c r="E11" s="105">
        <v>0.30352303523035229</v>
      </c>
      <c r="F11" s="108">
        <v>0.29494382022471899</v>
      </c>
      <c r="G11" s="108">
        <v>0.26</v>
      </c>
    </row>
    <row r="12" spans="1:7" x14ac:dyDescent="0.2">
      <c r="A12" s="20" t="s">
        <v>567</v>
      </c>
    </row>
    <row r="13" spans="1:7" x14ac:dyDescent="0.2">
      <c r="A13" s="20" t="s">
        <v>811</v>
      </c>
    </row>
    <row r="15" spans="1:7" x14ac:dyDescent="0.2">
      <c r="A15" s="20" t="s">
        <v>308</v>
      </c>
    </row>
    <row r="18" spans="1:6" x14ac:dyDescent="0.2">
      <c r="A18" s="195"/>
    </row>
    <row r="20" spans="1:6" x14ac:dyDescent="0.2">
      <c r="A20" s="234"/>
      <c r="B20" s="234"/>
      <c r="C20" s="234"/>
      <c r="D20" s="234"/>
      <c r="E20" s="234"/>
      <c r="F20" s="234"/>
    </row>
    <row r="21" spans="1:6" x14ac:dyDescent="0.2">
      <c r="A21" s="234"/>
      <c r="B21" s="234"/>
      <c r="C21" s="235"/>
      <c r="D21" s="235"/>
      <c r="E21" s="236"/>
      <c r="F21" s="235"/>
    </row>
    <row r="22" spans="1:6" x14ac:dyDescent="0.2">
      <c r="A22" s="234"/>
      <c r="B22" s="234"/>
      <c r="C22" s="235"/>
      <c r="D22" s="235"/>
      <c r="E22" s="236"/>
      <c r="F22" s="235"/>
    </row>
    <row r="23" spans="1:6" x14ac:dyDescent="0.2">
      <c r="A23" s="234"/>
      <c r="B23" s="234"/>
      <c r="C23" s="235"/>
      <c r="D23" s="235"/>
      <c r="E23" s="236"/>
      <c r="F23" s="235"/>
    </row>
    <row r="24" spans="1:6" x14ac:dyDescent="0.2">
      <c r="A24" s="234"/>
      <c r="B24" s="234"/>
      <c r="C24" s="235"/>
      <c r="D24" s="235"/>
      <c r="E24" s="236"/>
      <c r="F24" s="234"/>
    </row>
    <row r="25" spans="1:6" x14ac:dyDescent="0.2">
      <c r="A25" s="234"/>
      <c r="B25" s="234"/>
      <c r="C25" s="235"/>
      <c r="D25" s="235"/>
      <c r="E25" s="236"/>
      <c r="F25" s="234"/>
    </row>
    <row r="26" spans="1:6" x14ac:dyDescent="0.2">
      <c r="A26" s="234"/>
      <c r="B26" s="234"/>
      <c r="C26" s="235"/>
      <c r="D26" s="235"/>
      <c r="E26" s="236"/>
      <c r="F26" s="234"/>
    </row>
    <row r="27" spans="1:6" x14ac:dyDescent="0.2">
      <c r="A27" s="234"/>
      <c r="B27" s="237"/>
      <c r="C27" s="236"/>
      <c r="D27" s="236"/>
      <c r="E27" s="236"/>
      <c r="F27" s="234"/>
    </row>
    <row r="28" spans="1:6" x14ac:dyDescent="0.2">
      <c r="A28" s="234"/>
      <c r="B28" s="234"/>
      <c r="C28" s="234"/>
      <c r="D28" s="234"/>
      <c r="E28" s="234"/>
      <c r="F28" s="234"/>
    </row>
    <row r="29" spans="1:6" x14ac:dyDescent="0.2">
      <c r="A29" s="234"/>
      <c r="B29" s="234"/>
      <c r="C29" s="234"/>
      <c r="D29" s="234"/>
      <c r="E29" s="234"/>
      <c r="F29" s="234"/>
    </row>
    <row r="30" spans="1:6" x14ac:dyDescent="0.2">
      <c r="A30" s="234"/>
      <c r="B30" s="234"/>
      <c r="C30" s="234"/>
      <c r="D30" s="234"/>
      <c r="E30" s="234"/>
      <c r="F30" s="234"/>
    </row>
    <row r="31" spans="1:6" x14ac:dyDescent="0.2">
      <c r="A31" s="234"/>
      <c r="B31" s="234"/>
      <c r="C31" s="234"/>
      <c r="D31" s="234"/>
      <c r="E31" s="234"/>
      <c r="F31" s="234"/>
    </row>
    <row r="32" spans="1:6" x14ac:dyDescent="0.2">
      <c r="A32" s="234"/>
      <c r="B32" s="234"/>
      <c r="C32" s="234"/>
      <c r="D32" s="234"/>
      <c r="E32" s="234"/>
      <c r="F32" s="234"/>
    </row>
    <row r="33" spans="1:6" x14ac:dyDescent="0.2">
      <c r="A33" s="234"/>
      <c r="B33" s="234"/>
      <c r="C33" s="234"/>
      <c r="D33" s="234"/>
      <c r="E33" s="234"/>
      <c r="F33" s="234"/>
    </row>
    <row r="34" spans="1:6" x14ac:dyDescent="0.2">
      <c r="A34" s="234"/>
      <c r="B34" s="234"/>
      <c r="C34" s="234"/>
      <c r="D34" s="234"/>
      <c r="E34" s="234"/>
      <c r="F34" s="234"/>
    </row>
  </sheetData>
  <mergeCells count="1">
    <mergeCell ref="B3:E3"/>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election activeCell="A2" sqref="A2"/>
    </sheetView>
  </sheetViews>
  <sheetFormatPr baseColWidth="10" defaultRowHeight="11.25" x14ac:dyDescent="0.2"/>
  <cols>
    <col min="1" max="1" width="55" style="2" customWidth="1"/>
    <col min="2" max="16384" width="11.42578125" style="2"/>
  </cols>
  <sheetData>
    <row r="1" spans="1:7" x14ac:dyDescent="0.2">
      <c r="A1" s="1" t="s">
        <v>81</v>
      </c>
    </row>
    <row r="2" spans="1:7" x14ac:dyDescent="0.2">
      <c r="A2" s="1"/>
    </row>
    <row r="3" spans="1:7" x14ac:dyDescent="0.2">
      <c r="B3" s="748" t="s">
        <v>82</v>
      </c>
      <c r="C3" s="748"/>
      <c r="D3" s="748" t="s">
        <v>83</v>
      </c>
      <c r="E3" s="748"/>
      <c r="F3" s="1" t="s">
        <v>84</v>
      </c>
    </row>
    <row r="4" spans="1:7" x14ac:dyDescent="0.2">
      <c r="B4" s="1" t="s">
        <v>85</v>
      </c>
      <c r="C4" s="238" t="s">
        <v>7</v>
      </c>
      <c r="D4" s="1" t="s">
        <v>6</v>
      </c>
      <c r="E4" s="238" t="s">
        <v>7</v>
      </c>
      <c r="F4" s="1" t="s">
        <v>6</v>
      </c>
      <c r="G4" s="238" t="s">
        <v>86</v>
      </c>
    </row>
    <row r="5" spans="1:7" x14ac:dyDescent="0.2">
      <c r="A5" s="2" t="s">
        <v>87</v>
      </c>
      <c r="B5" s="239">
        <v>18</v>
      </c>
      <c r="C5" s="240">
        <v>0.5</v>
      </c>
      <c r="D5" s="239">
        <v>48</v>
      </c>
      <c r="E5" s="240">
        <v>0.13</v>
      </c>
      <c r="F5" s="241">
        <v>518</v>
      </c>
      <c r="G5" s="242">
        <v>0.09</v>
      </c>
    </row>
    <row r="6" spans="1:7" x14ac:dyDescent="0.2">
      <c r="A6" s="2" t="s">
        <v>88</v>
      </c>
      <c r="B6" s="243">
        <v>22</v>
      </c>
      <c r="C6" s="244">
        <v>0.5</v>
      </c>
      <c r="D6" s="243">
        <v>47</v>
      </c>
      <c r="E6" s="244">
        <v>0.56999999999999995</v>
      </c>
      <c r="F6" s="245">
        <v>761</v>
      </c>
      <c r="G6" s="242">
        <v>0.52</v>
      </c>
    </row>
    <row r="7" spans="1:7" x14ac:dyDescent="0.2">
      <c r="A7" s="2" t="s">
        <v>89</v>
      </c>
      <c r="B7" s="239"/>
      <c r="C7" s="240"/>
      <c r="D7" s="239"/>
      <c r="E7" s="240"/>
      <c r="F7" s="246"/>
      <c r="G7" s="247"/>
    </row>
    <row r="8" spans="1:7" x14ac:dyDescent="0.2">
      <c r="A8" s="2" t="s">
        <v>90</v>
      </c>
      <c r="B8" s="243">
        <v>148</v>
      </c>
      <c r="C8" s="244">
        <v>0.58108108108108103</v>
      </c>
      <c r="D8" s="243">
        <v>266</v>
      </c>
      <c r="E8" s="244">
        <v>0.42105263157894735</v>
      </c>
      <c r="F8" s="245">
        <v>8853</v>
      </c>
      <c r="G8" s="248">
        <v>0.32108277449498962</v>
      </c>
    </row>
    <row r="9" spans="1:7" x14ac:dyDescent="0.2">
      <c r="A9" s="2" t="s">
        <v>91</v>
      </c>
      <c r="B9" s="239">
        <v>236</v>
      </c>
      <c r="C9" s="249">
        <v>0.4</v>
      </c>
      <c r="D9" s="239">
        <v>344</v>
      </c>
      <c r="E9" s="240">
        <v>0.22</v>
      </c>
      <c r="F9" s="246">
        <v>12879</v>
      </c>
      <c r="G9" s="242">
        <v>0.25</v>
      </c>
    </row>
    <row r="10" spans="1:7" x14ac:dyDescent="0.2">
      <c r="A10" s="2" t="s">
        <v>92</v>
      </c>
      <c r="B10" s="239">
        <v>283</v>
      </c>
      <c r="C10" s="249">
        <v>0.5</v>
      </c>
      <c r="D10" s="239">
        <v>618</v>
      </c>
      <c r="E10" s="240">
        <v>0.36</v>
      </c>
      <c r="F10" s="246">
        <v>25421</v>
      </c>
      <c r="G10" s="250">
        <v>0.27</v>
      </c>
    </row>
    <row r="11" spans="1:7" x14ac:dyDescent="0.2">
      <c r="A11" s="201" t="s">
        <v>6</v>
      </c>
      <c r="B11" s="559">
        <f>SUM(B5:B10)</f>
        <v>707</v>
      </c>
      <c r="C11" s="567">
        <f>(C5*B5+C6*B6+C8*B8+C9*B9+C10*B10)/B11</f>
        <v>0.48359264497878357</v>
      </c>
      <c r="D11" s="559">
        <f>SUM(D5:D10)</f>
        <v>1323</v>
      </c>
      <c r="E11" s="567">
        <f>(E5*D5+E6*D6+E8*D8+E9*D9+E10*D10)/D11</f>
        <v>0.33498866213151929</v>
      </c>
      <c r="F11" s="559">
        <f>SUM(F5:F10)</f>
        <v>48432</v>
      </c>
      <c r="G11" s="567">
        <f>(G5*F5+G6*F6+G8*F8+G9*F9+G10*F10)/F11</f>
        <v>0.27602217134547702</v>
      </c>
    </row>
    <row r="12" spans="1:7" x14ac:dyDescent="0.2">
      <c r="A12" s="2" t="s">
        <v>94</v>
      </c>
    </row>
    <row r="13" spans="1:7" x14ac:dyDescent="0.2">
      <c r="A13" s="2" t="s">
        <v>95</v>
      </c>
    </row>
    <row r="15" spans="1:7" x14ac:dyDescent="0.2">
      <c r="A15" s="2" t="s">
        <v>93</v>
      </c>
    </row>
  </sheetData>
  <mergeCells count="2">
    <mergeCell ref="B3:C3"/>
    <mergeCell ref="D3:E3"/>
  </mergeCells>
  <pageMargins left="0.7" right="0.7" top="0.75" bottom="0.75" header="0.3" footer="0.3"/>
  <pageSetup paperSize="9" scale="7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B15" sqref="B15"/>
    </sheetView>
  </sheetViews>
  <sheetFormatPr baseColWidth="10" defaultRowHeight="20.100000000000001" customHeight="1" x14ac:dyDescent="0.25"/>
  <cols>
    <col min="1" max="1" width="20.7109375" style="252" customWidth="1"/>
    <col min="2" max="5" width="10.7109375" style="252" customWidth="1"/>
    <col min="6" max="6" width="12.7109375" style="252" customWidth="1"/>
    <col min="7" max="16384" width="11.42578125" style="252"/>
  </cols>
  <sheetData>
    <row r="1" spans="1:15" ht="15" customHeight="1" x14ac:dyDescent="0.25">
      <c r="A1" s="251" t="s">
        <v>812</v>
      </c>
    </row>
    <row r="2" spans="1:15" ht="15" customHeight="1" x14ac:dyDescent="0.25"/>
    <row r="3" spans="1:15" s="251" customFormat="1" ht="15" customHeight="1" x14ac:dyDescent="0.25">
      <c r="B3" s="254" t="s">
        <v>524</v>
      </c>
      <c r="C3" s="276"/>
      <c r="D3" s="254" t="s">
        <v>525</v>
      </c>
      <c r="E3" s="276"/>
      <c r="F3" s="255" t="s">
        <v>526</v>
      </c>
      <c r="G3" s="276"/>
      <c r="H3" s="256" t="s">
        <v>527</v>
      </c>
      <c r="I3" s="257"/>
      <c r="J3" s="281"/>
      <c r="K3" s="252"/>
      <c r="L3" s="252"/>
      <c r="M3" s="252"/>
      <c r="N3" s="252"/>
      <c r="O3" s="252"/>
    </row>
    <row r="4" spans="1:15" ht="15" customHeight="1" x14ac:dyDescent="0.25">
      <c r="A4" s="258" t="s">
        <v>528</v>
      </c>
      <c r="B4" s="259" t="s">
        <v>6</v>
      </c>
      <c r="C4" s="277" t="s">
        <v>529</v>
      </c>
      <c r="D4" s="259" t="s">
        <v>6</v>
      </c>
      <c r="E4" s="277" t="s">
        <v>529</v>
      </c>
      <c r="F4" s="258" t="s">
        <v>6</v>
      </c>
      <c r="G4" s="277" t="s">
        <v>529</v>
      </c>
      <c r="H4" s="258" t="s">
        <v>4</v>
      </c>
      <c r="I4" s="258" t="s">
        <v>5</v>
      </c>
      <c r="J4" s="282" t="s">
        <v>454</v>
      </c>
    </row>
    <row r="5" spans="1:15" ht="15" customHeight="1" x14ac:dyDescent="0.25">
      <c r="A5" s="261" t="s">
        <v>530</v>
      </c>
      <c r="B5" s="262">
        <v>18</v>
      </c>
      <c r="C5" s="278">
        <v>0.16666666666666666</v>
      </c>
      <c r="D5" s="262">
        <v>18</v>
      </c>
      <c r="E5" s="278">
        <v>0.16666666666666666</v>
      </c>
      <c r="F5" s="263">
        <v>148800</v>
      </c>
      <c r="G5" s="278">
        <v>0.1028225806451613</v>
      </c>
      <c r="H5" s="263">
        <v>5100</v>
      </c>
      <c r="I5" s="263">
        <v>8900</v>
      </c>
      <c r="J5" s="568">
        <f t="shared" ref="J5:J10" si="0">(H5-I5)/I5</f>
        <v>-0.42696629213483145</v>
      </c>
      <c r="K5" s="264"/>
    </row>
    <row r="6" spans="1:15" ht="15" customHeight="1" x14ac:dyDescent="0.25">
      <c r="A6" s="265" t="s">
        <v>531</v>
      </c>
      <c r="B6" s="266">
        <v>479</v>
      </c>
      <c r="C6" s="278">
        <v>0.47390396659707723</v>
      </c>
      <c r="D6" s="266">
        <v>236</v>
      </c>
      <c r="E6" s="278">
        <v>0.46610169491525422</v>
      </c>
      <c r="F6" s="267">
        <v>2254000</v>
      </c>
      <c r="G6" s="278">
        <v>0.44254658385093165</v>
      </c>
      <c r="H6" s="263">
        <v>9068.181818181818</v>
      </c>
      <c r="I6" s="263">
        <v>9972.2222222222226</v>
      </c>
      <c r="J6" s="568">
        <f t="shared" si="0"/>
        <v>-9.0655862243606028E-2</v>
      </c>
    </row>
    <row r="7" spans="1:15" ht="15" customHeight="1" x14ac:dyDescent="0.25">
      <c r="A7" s="265" t="s">
        <v>532</v>
      </c>
      <c r="B7" s="266">
        <v>33</v>
      </c>
      <c r="C7" s="278">
        <v>0.42424242424242425</v>
      </c>
      <c r="D7" s="266">
        <v>23</v>
      </c>
      <c r="E7" s="278">
        <v>0.43478260869565216</v>
      </c>
      <c r="F7" s="267">
        <v>104000</v>
      </c>
      <c r="G7" s="278">
        <v>0.44230769230769229</v>
      </c>
      <c r="H7" s="263">
        <v>4600</v>
      </c>
      <c r="I7" s="263">
        <v>4461.5384615384619</v>
      </c>
      <c r="J7" s="568">
        <f t="shared" si="0"/>
        <v>3.1034482758620609E-2</v>
      </c>
      <c r="K7" s="264"/>
      <c r="L7" s="268"/>
      <c r="M7" s="264"/>
      <c r="N7" s="268"/>
      <c r="O7" s="264"/>
    </row>
    <row r="8" spans="1:15" ht="15" customHeight="1" x14ac:dyDescent="0.25">
      <c r="A8" s="265" t="s">
        <v>533</v>
      </c>
      <c r="B8" s="266">
        <v>13</v>
      </c>
      <c r="C8" s="278">
        <v>0.53846153846153844</v>
      </c>
      <c r="D8" s="266">
        <v>12</v>
      </c>
      <c r="E8" s="278">
        <v>0.58333333333333337</v>
      </c>
      <c r="F8" s="267">
        <v>73500</v>
      </c>
      <c r="G8" s="278">
        <v>0.61904761904761907</v>
      </c>
      <c r="H8" s="263">
        <v>6500</v>
      </c>
      <c r="I8" s="263">
        <v>5600</v>
      </c>
      <c r="J8" s="568">
        <f t="shared" si="0"/>
        <v>0.16071428571428573</v>
      </c>
      <c r="K8" s="264"/>
      <c r="L8" s="268"/>
      <c r="M8" s="264"/>
      <c r="N8" s="268"/>
      <c r="O8" s="264"/>
    </row>
    <row r="9" spans="1:15" ht="15" customHeight="1" x14ac:dyDescent="0.25">
      <c r="A9" s="269" t="s">
        <v>534</v>
      </c>
      <c r="B9" s="270">
        <v>51</v>
      </c>
      <c r="C9" s="279">
        <v>0.6470588235294118</v>
      </c>
      <c r="D9" s="270">
        <v>42</v>
      </c>
      <c r="E9" s="279">
        <v>0.6428571428571429</v>
      </c>
      <c r="F9" s="271">
        <v>166000</v>
      </c>
      <c r="G9" s="279">
        <v>0.60240963855421692</v>
      </c>
      <c r="H9" s="272">
        <v>3703.7037037037039</v>
      </c>
      <c r="I9" s="272">
        <v>4400</v>
      </c>
      <c r="J9" s="568">
        <f t="shared" si="0"/>
        <v>-0.15824915824915819</v>
      </c>
      <c r="K9" s="264"/>
      <c r="L9" s="268"/>
      <c r="M9" s="264"/>
      <c r="N9" s="268"/>
      <c r="O9" s="264"/>
    </row>
    <row r="10" spans="1:15" ht="15" customHeight="1" x14ac:dyDescent="0.25">
      <c r="A10" s="273" t="s">
        <v>261</v>
      </c>
      <c r="B10" s="274">
        <f>SUM(B5:B9)</f>
        <v>594</v>
      </c>
      <c r="C10" s="280">
        <v>0.4781144781144781</v>
      </c>
      <c r="D10" s="274">
        <f>SUM(D5:D9)</f>
        <v>331</v>
      </c>
      <c r="E10" s="280">
        <v>0.47432024169184289</v>
      </c>
      <c r="F10" s="275">
        <f>SUM(F5:F9)</f>
        <v>2746300</v>
      </c>
      <c r="G10" s="280">
        <v>0.43851727779193822</v>
      </c>
      <c r="H10" s="275">
        <v>7670.7006369426754</v>
      </c>
      <c r="I10" s="275">
        <v>8862.0689655172409</v>
      </c>
      <c r="J10" s="568">
        <f t="shared" si="0"/>
        <v>-0.13443455847728561</v>
      </c>
      <c r="K10" s="264"/>
      <c r="L10" s="268"/>
      <c r="M10" s="264"/>
      <c r="N10" s="268"/>
      <c r="O10" s="264"/>
    </row>
    <row r="11" spans="1:15" ht="15" customHeight="1" x14ac:dyDescent="0.25">
      <c r="K11" s="264"/>
      <c r="L11" s="268"/>
      <c r="M11" s="264"/>
      <c r="N11" s="268"/>
      <c r="O11" s="264"/>
    </row>
    <row r="12" spans="1:15" ht="15" customHeight="1" x14ac:dyDescent="0.25">
      <c r="A12" s="252" t="s">
        <v>644</v>
      </c>
      <c r="F12" s="264"/>
    </row>
    <row r="13" spans="1:15" ht="15" customHeight="1" x14ac:dyDescent="0.25">
      <c r="C13" s="253"/>
      <c r="F13" s="264"/>
    </row>
    <row r="14" spans="1:15" ht="15" customHeight="1" x14ac:dyDescent="0.25">
      <c r="C14" s="260"/>
    </row>
    <row r="15" spans="1:15" ht="20.100000000000001" customHeight="1" x14ac:dyDescent="0.25">
      <c r="C15" s="253"/>
    </row>
    <row r="16" spans="1:15" ht="20.100000000000001" customHeight="1" x14ac:dyDescent="0.25">
      <c r="C16" s="253"/>
    </row>
  </sheetData>
  <printOptions horizontalCentered="1"/>
  <pageMargins left="0.39370078740157483" right="0.39370078740157483" top="0.98425196850393704" bottom="0.98425196850393704" header="0.31496062992125984" footer="0.31496062992125984"/>
  <pageSetup paperSize="9" scale="70" orientation="portrait" r:id="rId1"/>
  <headerFooter>
    <oddFooter>&amp;C&amp;"Verdana,Normal"&amp;8CNL/ETUDES ET SYNTHESES/ASM - PAGE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2"/>
  <sheetViews>
    <sheetView workbookViewId="0">
      <selection activeCell="A17" sqref="A1:XFD17"/>
    </sheetView>
  </sheetViews>
  <sheetFormatPr baseColWidth="10" defaultRowHeight="20.100000000000001" customHeight="1" x14ac:dyDescent="0.25"/>
  <cols>
    <col min="1" max="1" width="40.7109375" style="252" customWidth="1"/>
    <col min="2" max="2" width="11.7109375" style="252" customWidth="1"/>
    <col min="3" max="3" width="13.85546875" style="252" customWidth="1"/>
    <col min="4" max="4" width="15.7109375" style="252" customWidth="1"/>
    <col min="5" max="5" width="13.85546875" style="252" customWidth="1"/>
    <col min="6" max="16384" width="11.42578125" style="252"/>
  </cols>
  <sheetData>
    <row r="1" spans="1:7" ht="15" customHeight="1" x14ac:dyDescent="0.25">
      <c r="A1" s="251" t="s">
        <v>841</v>
      </c>
    </row>
    <row r="2" spans="1:7" ht="15" customHeight="1" x14ac:dyDescent="0.25"/>
    <row r="3" spans="1:7" ht="15" customHeight="1" x14ac:dyDescent="0.25">
      <c r="B3" s="257" t="s">
        <v>525</v>
      </c>
      <c r="C3" s="283"/>
      <c r="D3" s="256" t="s">
        <v>526</v>
      </c>
      <c r="E3" s="283"/>
    </row>
    <row r="4" spans="1:7" ht="15" customHeight="1" x14ac:dyDescent="0.25">
      <c r="A4" s="258" t="s">
        <v>528</v>
      </c>
      <c r="B4" s="258" t="s">
        <v>6</v>
      </c>
      <c r="C4" s="290" t="s">
        <v>535</v>
      </c>
      <c r="D4" s="258" t="s">
        <v>6</v>
      </c>
      <c r="E4" s="290" t="s">
        <v>535</v>
      </c>
    </row>
    <row r="5" spans="1:7" ht="15" customHeight="1" x14ac:dyDescent="0.25">
      <c r="A5" s="284" t="s">
        <v>536</v>
      </c>
      <c r="B5" s="262">
        <v>7</v>
      </c>
      <c r="C5" s="291">
        <v>0.42857142857142855</v>
      </c>
      <c r="D5" s="263">
        <v>52000</v>
      </c>
      <c r="E5" s="291">
        <v>0.41346153846153844</v>
      </c>
      <c r="F5" s="264"/>
    </row>
    <row r="6" spans="1:7" ht="15" customHeight="1" x14ac:dyDescent="0.25">
      <c r="A6" s="285" t="s">
        <v>509</v>
      </c>
      <c r="B6" s="266">
        <v>52</v>
      </c>
      <c r="C6" s="291">
        <v>0.26923076923076922</v>
      </c>
      <c r="D6" s="263">
        <v>463500</v>
      </c>
      <c r="E6" s="291">
        <v>0.23948220064724918</v>
      </c>
      <c r="F6" s="264"/>
    </row>
    <row r="7" spans="1:7" ht="15" customHeight="1" x14ac:dyDescent="0.25">
      <c r="A7" s="285" t="s">
        <v>537</v>
      </c>
      <c r="B7" s="266">
        <v>13</v>
      </c>
      <c r="C7" s="291">
        <v>0.69230769230769229</v>
      </c>
      <c r="D7" s="263">
        <v>76500</v>
      </c>
      <c r="E7" s="291">
        <v>0.46405228758169936</v>
      </c>
      <c r="F7" s="264"/>
    </row>
    <row r="8" spans="1:7" ht="15" customHeight="1" x14ac:dyDescent="0.25">
      <c r="A8" s="285" t="s">
        <v>538</v>
      </c>
      <c r="B8" s="266">
        <v>43</v>
      </c>
      <c r="C8" s="291">
        <v>0.7441860465116279</v>
      </c>
      <c r="D8" s="263">
        <v>442500</v>
      </c>
      <c r="E8" s="291">
        <v>0.75480225988700567</v>
      </c>
      <c r="F8" s="264"/>
    </row>
    <row r="9" spans="1:7" ht="15" customHeight="1" x14ac:dyDescent="0.25">
      <c r="A9" s="285" t="s">
        <v>514</v>
      </c>
      <c r="B9" s="266">
        <v>0</v>
      </c>
      <c r="C9" s="291"/>
      <c r="D9" s="263">
        <v>0</v>
      </c>
      <c r="E9" s="291"/>
      <c r="F9" s="264"/>
    </row>
    <row r="10" spans="1:7" ht="15" customHeight="1" x14ac:dyDescent="0.25">
      <c r="A10" s="285" t="s">
        <v>516</v>
      </c>
      <c r="B10" s="266">
        <v>2</v>
      </c>
      <c r="C10" s="291">
        <v>1</v>
      </c>
      <c r="D10" s="263">
        <v>17500</v>
      </c>
      <c r="E10" s="291">
        <v>1</v>
      </c>
      <c r="F10" s="264"/>
    </row>
    <row r="11" spans="1:7" ht="15" customHeight="1" x14ac:dyDescent="0.25">
      <c r="A11" s="285" t="s">
        <v>539</v>
      </c>
      <c r="B11" s="266">
        <v>14</v>
      </c>
      <c r="C11" s="291">
        <v>0.5</v>
      </c>
      <c r="D11" s="263">
        <v>115500</v>
      </c>
      <c r="E11" s="291">
        <v>0.39393939393939392</v>
      </c>
      <c r="F11" s="264"/>
    </row>
    <row r="12" spans="1:7" ht="15" customHeight="1" x14ac:dyDescent="0.25">
      <c r="A12" s="285" t="s">
        <v>518</v>
      </c>
      <c r="B12" s="266">
        <v>8</v>
      </c>
      <c r="C12" s="291">
        <v>0.5</v>
      </c>
      <c r="D12" s="263">
        <v>62500</v>
      </c>
      <c r="E12" s="291">
        <v>0.504</v>
      </c>
      <c r="F12" s="264"/>
    </row>
    <row r="13" spans="1:7" ht="15" customHeight="1" x14ac:dyDescent="0.25">
      <c r="A13" s="285" t="s">
        <v>519</v>
      </c>
      <c r="B13" s="266">
        <v>32</v>
      </c>
      <c r="C13" s="291">
        <v>0.34375</v>
      </c>
      <c r="D13" s="263">
        <v>272500</v>
      </c>
      <c r="E13" s="291">
        <v>0.41834862385321103</v>
      </c>
      <c r="F13" s="264"/>
    </row>
    <row r="14" spans="1:7" ht="15" customHeight="1" x14ac:dyDescent="0.25">
      <c r="A14" s="285" t="s">
        <v>520</v>
      </c>
      <c r="B14" s="266">
        <v>119</v>
      </c>
      <c r="C14" s="291">
        <v>0.47899159663865548</v>
      </c>
      <c r="D14" s="263">
        <v>951500</v>
      </c>
      <c r="E14" s="291">
        <v>0.4277456647398844</v>
      </c>
      <c r="F14" s="264"/>
    </row>
    <row r="15" spans="1:7" ht="15" customHeight="1" x14ac:dyDescent="0.25">
      <c r="A15" s="286" t="s">
        <v>521</v>
      </c>
      <c r="B15" s="270">
        <v>23</v>
      </c>
      <c r="C15" s="292">
        <v>0.65217391304347827</v>
      </c>
      <c r="D15" s="271">
        <v>143500</v>
      </c>
      <c r="E15" s="292">
        <v>0.49825783972125437</v>
      </c>
      <c r="F15" s="264"/>
      <c r="G15" s="480"/>
    </row>
    <row r="16" spans="1:7" ht="15" customHeight="1" x14ac:dyDescent="0.25">
      <c r="C16" s="268"/>
    </row>
    <row r="17" spans="1:4" ht="15" customHeight="1" x14ac:dyDescent="0.25">
      <c r="A17" s="252" t="s">
        <v>644</v>
      </c>
      <c r="B17" s="17"/>
      <c r="C17" s="268"/>
      <c r="D17" s="264"/>
    </row>
    <row r="18" spans="1:4" s="287" customFormat="1" ht="20.100000000000001" customHeight="1" x14ac:dyDescent="0.25">
      <c r="C18" s="288"/>
      <c r="D18" s="289"/>
    </row>
    <row r="19" spans="1:4" s="287" customFormat="1" ht="20.100000000000001" customHeight="1" x14ac:dyDescent="0.25">
      <c r="C19" s="288"/>
    </row>
    <row r="20" spans="1:4" s="287" customFormat="1" ht="20.100000000000001" customHeight="1" x14ac:dyDescent="0.25">
      <c r="C20" s="288"/>
    </row>
    <row r="21" spans="1:4" s="287" customFormat="1" ht="20.100000000000001" customHeight="1" x14ac:dyDescent="0.25">
      <c r="C21" s="288"/>
    </row>
    <row r="22" spans="1:4" s="287" customFormat="1" ht="20.100000000000001" customHeight="1" x14ac:dyDescent="0.25">
      <c r="C22" s="288"/>
    </row>
    <row r="23" spans="1:4" s="287" customFormat="1" ht="20.100000000000001" customHeight="1" x14ac:dyDescent="0.25">
      <c r="C23" s="288"/>
    </row>
    <row r="24" spans="1:4" ht="20.100000000000001" customHeight="1" x14ac:dyDescent="0.25">
      <c r="C24" s="268"/>
    </row>
    <row r="25" spans="1:4" ht="20.100000000000001" customHeight="1" x14ac:dyDescent="0.25">
      <c r="C25" s="268"/>
    </row>
    <row r="26" spans="1:4" ht="20.100000000000001" customHeight="1" x14ac:dyDescent="0.25">
      <c r="C26" s="268"/>
    </row>
    <row r="27" spans="1:4" ht="20.100000000000001" customHeight="1" x14ac:dyDescent="0.25">
      <c r="C27" s="268"/>
    </row>
    <row r="28" spans="1:4" ht="20.100000000000001" customHeight="1" x14ac:dyDescent="0.25">
      <c r="C28" s="268"/>
    </row>
    <row r="29" spans="1:4" ht="20.100000000000001" customHeight="1" x14ac:dyDescent="0.25">
      <c r="C29" s="268"/>
    </row>
    <row r="30" spans="1:4" ht="20.100000000000001" customHeight="1" x14ac:dyDescent="0.25">
      <c r="C30" s="268"/>
    </row>
    <row r="31" spans="1:4" ht="20.100000000000001" customHeight="1" x14ac:dyDescent="0.25">
      <c r="C31" s="268"/>
    </row>
    <row r="32" spans="1:4" ht="20.100000000000001" customHeight="1" x14ac:dyDescent="0.25">
      <c r="C32" s="268"/>
    </row>
    <row r="33" spans="3:3" ht="20.100000000000001" customHeight="1" x14ac:dyDescent="0.25">
      <c r="C33" s="268"/>
    </row>
    <row r="34" spans="3:3" ht="20.100000000000001" customHeight="1" x14ac:dyDescent="0.25">
      <c r="C34" s="268"/>
    </row>
    <row r="35" spans="3:3" ht="20.100000000000001" customHeight="1" x14ac:dyDescent="0.25">
      <c r="C35" s="268"/>
    </row>
    <row r="36" spans="3:3" ht="20.100000000000001" customHeight="1" x14ac:dyDescent="0.25">
      <c r="C36" s="268"/>
    </row>
    <row r="37" spans="3:3" ht="20.100000000000001" customHeight="1" x14ac:dyDescent="0.25">
      <c r="C37" s="268"/>
    </row>
    <row r="38" spans="3:3" ht="20.100000000000001" customHeight="1" x14ac:dyDescent="0.25">
      <c r="C38" s="268"/>
    </row>
    <row r="39" spans="3:3" ht="20.100000000000001" customHeight="1" x14ac:dyDescent="0.25">
      <c r="C39" s="268"/>
    </row>
    <row r="40" spans="3:3" ht="20.100000000000001" customHeight="1" x14ac:dyDescent="0.25">
      <c r="C40" s="268"/>
    </row>
    <row r="41" spans="3:3" ht="20.100000000000001" customHeight="1" x14ac:dyDescent="0.25">
      <c r="C41" s="268"/>
    </row>
    <row r="42" spans="3:3" ht="20.100000000000001" customHeight="1" x14ac:dyDescent="0.25">
      <c r="C42" s="268"/>
    </row>
  </sheetData>
  <printOptions horizontalCentered="1"/>
  <pageMargins left="0.39370078740157483" right="0.39370078740157483" top="0.98425196850393704" bottom="0.98425196850393704" header="0.31496062992125984" footer="0.31496062992125984"/>
  <pageSetup paperSize="9" scale="70" orientation="portrait" r:id="rId1"/>
  <headerFooter>
    <oddFooter>&amp;C&amp;"Verdana,Normal"&amp;8CNL/ETUDES ET SYNTHESES/ASM - PAGE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workbookViewId="0">
      <selection activeCell="C30" sqref="C30"/>
    </sheetView>
  </sheetViews>
  <sheetFormatPr baseColWidth="10" defaultColWidth="9.140625" defaultRowHeight="11.25" x14ac:dyDescent="0.2"/>
  <cols>
    <col min="1" max="5" width="9.140625" style="20"/>
    <col min="6" max="6" width="9.140625" style="20" customWidth="1"/>
    <col min="7" max="16384" width="9.140625" style="20"/>
  </cols>
  <sheetData>
    <row r="1" spans="1:6" x14ac:dyDescent="0.2">
      <c r="A1" s="19" t="s">
        <v>867</v>
      </c>
    </row>
    <row r="2" spans="1:6" x14ac:dyDescent="0.2">
      <c r="A2" s="19"/>
    </row>
    <row r="3" spans="1:6" ht="12.75" customHeight="1" x14ac:dyDescent="0.2">
      <c r="A3" s="481"/>
      <c r="B3" s="749" t="s">
        <v>820</v>
      </c>
      <c r="C3" s="750" t="s">
        <v>821</v>
      </c>
      <c r="D3" s="750"/>
      <c r="E3" s="750"/>
      <c r="F3" s="750"/>
    </row>
    <row r="4" spans="1:6" ht="28.7" customHeight="1" x14ac:dyDescent="0.2">
      <c r="A4" s="482"/>
      <c r="B4" s="749"/>
      <c r="C4" s="483" t="s">
        <v>4</v>
      </c>
      <c r="D4" s="483" t="s">
        <v>5</v>
      </c>
      <c r="E4" s="483" t="s">
        <v>371</v>
      </c>
      <c r="F4" s="484" t="s">
        <v>6</v>
      </c>
    </row>
    <row r="5" spans="1:6" x14ac:dyDescent="0.2">
      <c r="A5" s="482">
        <v>2008</v>
      </c>
      <c r="B5" s="485">
        <v>53</v>
      </c>
      <c r="C5" s="490">
        <v>0.22600000000000001</v>
      </c>
      <c r="D5" s="490">
        <v>0.755</v>
      </c>
      <c r="E5" s="490">
        <v>1.9E-2</v>
      </c>
      <c r="F5" s="491">
        <v>1</v>
      </c>
    </row>
    <row r="6" spans="1:6" x14ac:dyDescent="0.2">
      <c r="A6" s="486">
        <v>2009</v>
      </c>
      <c r="B6" s="487">
        <v>51</v>
      </c>
      <c r="C6" s="490">
        <v>0.27500000000000002</v>
      </c>
      <c r="D6" s="490">
        <v>0.72499999999999998</v>
      </c>
      <c r="E6" s="490">
        <v>0</v>
      </c>
      <c r="F6" s="491">
        <v>1</v>
      </c>
    </row>
    <row r="7" spans="1:6" x14ac:dyDescent="0.2">
      <c r="A7" s="486">
        <v>2010</v>
      </c>
      <c r="B7" s="487">
        <v>53</v>
      </c>
      <c r="C7" s="490">
        <v>0.17</v>
      </c>
      <c r="D7" s="490">
        <v>0.79200000000000004</v>
      </c>
      <c r="E7" s="490">
        <v>3.7999999999999999E-2</v>
      </c>
      <c r="F7" s="491">
        <v>1</v>
      </c>
    </row>
    <row r="8" spans="1:6" x14ac:dyDescent="0.2">
      <c r="A8" s="486">
        <v>2011</v>
      </c>
      <c r="B8" s="487">
        <v>57</v>
      </c>
      <c r="C8" s="490">
        <v>0.33299999999999996</v>
      </c>
      <c r="D8" s="490">
        <v>0.64900000000000002</v>
      </c>
      <c r="E8" s="490">
        <v>1.8000000000000002E-2</v>
      </c>
      <c r="F8" s="491">
        <v>1</v>
      </c>
    </row>
    <row r="9" spans="1:6" x14ac:dyDescent="0.2">
      <c r="A9" s="486">
        <v>2012</v>
      </c>
      <c r="B9" s="487">
        <v>56</v>
      </c>
      <c r="C9" s="490">
        <v>0.28600000000000003</v>
      </c>
      <c r="D9" s="490">
        <v>0.69599999999999995</v>
      </c>
      <c r="E9" s="490">
        <v>1.8000000000000002E-2</v>
      </c>
      <c r="F9" s="491">
        <v>1</v>
      </c>
    </row>
    <row r="10" spans="1:6" x14ac:dyDescent="0.2">
      <c r="A10" s="486">
        <v>2013</v>
      </c>
      <c r="B10" s="487">
        <v>55</v>
      </c>
      <c r="C10" s="490">
        <v>0.309</v>
      </c>
      <c r="D10" s="490">
        <v>0.67299999999999993</v>
      </c>
      <c r="E10" s="490">
        <v>1.8000000000000002E-2</v>
      </c>
      <c r="F10" s="491">
        <v>1</v>
      </c>
    </row>
    <row r="11" spans="1:6" x14ac:dyDescent="0.2">
      <c r="A11" s="488">
        <v>2014</v>
      </c>
      <c r="B11" s="489">
        <v>57</v>
      </c>
      <c r="C11" s="490">
        <v>0.22800000000000001</v>
      </c>
      <c r="D11" s="490">
        <v>0.77200000000000002</v>
      </c>
      <c r="E11" s="490">
        <v>0</v>
      </c>
      <c r="F11" s="491">
        <v>1</v>
      </c>
    </row>
    <row r="12" spans="1:6" x14ac:dyDescent="0.2">
      <c r="A12" s="488">
        <v>2015</v>
      </c>
      <c r="B12" s="489">
        <v>57</v>
      </c>
      <c r="C12" s="490">
        <v>0.35100000000000003</v>
      </c>
      <c r="D12" s="490">
        <v>0.64900000000000002</v>
      </c>
      <c r="E12" s="490">
        <v>0</v>
      </c>
      <c r="F12" s="491">
        <v>1</v>
      </c>
    </row>
    <row r="13" spans="1:6" x14ac:dyDescent="0.2">
      <c r="A13" s="488">
        <v>2016</v>
      </c>
      <c r="B13" s="489">
        <v>55</v>
      </c>
      <c r="C13" s="490">
        <v>0.23600000000000002</v>
      </c>
      <c r="D13" s="490">
        <v>0.72699999999999998</v>
      </c>
      <c r="E13" s="490">
        <v>3.6000000000000004E-2</v>
      </c>
      <c r="F13" s="491">
        <v>1</v>
      </c>
    </row>
    <row r="14" spans="1:6" x14ac:dyDescent="0.2">
      <c r="A14" s="488">
        <v>2017</v>
      </c>
      <c r="B14" s="489">
        <v>53</v>
      </c>
      <c r="C14" s="490">
        <v>0.32100000000000001</v>
      </c>
      <c r="D14" s="490">
        <v>0.623</v>
      </c>
      <c r="E14" s="490">
        <v>5.7000000000000002E-2</v>
      </c>
      <c r="F14" s="491">
        <v>1</v>
      </c>
    </row>
    <row r="15" spans="1:6" x14ac:dyDescent="0.2">
      <c r="A15" s="20" t="s">
        <v>822</v>
      </c>
    </row>
    <row r="16" spans="1:6" x14ac:dyDescent="0.2">
      <c r="A16" s="20" t="s">
        <v>823</v>
      </c>
    </row>
    <row r="18" spans="1:1" x14ac:dyDescent="0.2">
      <c r="A18" s="20" t="s">
        <v>819</v>
      </c>
    </row>
    <row r="20" spans="1:1" x14ac:dyDescent="0.2">
      <c r="A20" s="195"/>
    </row>
    <row r="21" spans="1:1" x14ac:dyDescent="0.2">
      <c r="A21" s="195"/>
    </row>
  </sheetData>
  <mergeCells count="2">
    <mergeCell ref="B3:B4"/>
    <mergeCell ref="C3:F3"/>
  </mergeCells>
  <pageMargins left="0.78749999999999998" right="0.78749999999999998" top="1.0249999999999999" bottom="1.0249999999999999" header="0.78749999999999998" footer="0.78749999999999998"/>
  <pageSetup paperSize="9" firstPageNumber="0" orientation="portrait" r:id="rId1"/>
  <headerFooter>
    <oddHeader>&amp;C&amp;"Arial,Normal"&amp;10&amp;A</oddHeader>
    <oddFooter>&amp;C&amp;"Arial,Normal"&amp;10Page &amp;P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workbookViewId="0">
      <selection activeCell="A18" sqref="A18"/>
    </sheetView>
  </sheetViews>
  <sheetFormatPr baseColWidth="10" defaultColWidth="9.140625" defaultRowHeight="11.25" x14ac:dyDescent="0.2"/>
  <cols>
    <col min="1" max="16384" width="9.140625" style="20"/>
  </cols>
  <sheetData>
    <row r="1" spans="1:7" x14ac:dyDescent="0.2">
      <c r="A1" s="19" t="s">
        <v>824</v>
      </c>
    </row>
    <row r="2" spans="1:7" ht="7.5" customHeight="1" x14ac:dyDescent="0.2">
      <c r="A2" s="19"/>
    </row>
    <row r="3" spans="1:7" ht="35.65" customHeight="1" x14ac:dyDescent="0.2">
      <c r="B3" s="693" t="s">
        <v>825</v>
      </c>
      <c r="C3" s="693"/>
      <c r="D3" s="693"/>
      <c r="E3" s="693"/>
      <c r="F3" s="19" t="s">
        <v>826</v>
      </c>
    </row>
    <row r="4" spans="1:7" x14ac:dyDescent="0.2">
      <c r="B4" s="19" t="s">
        <v>4</v>
      </c>
      <c r="C4" s="19" t="s">
        <v>5</v>
      </c>
      <c r="D4" s="19" t="s">
        <v>827</v>
      </c>
      <c r="E4" s="19" t="s">
        <v>574</v>
      </c>
    </row>
    <row r="5" spans="1:7" x14ac:dyDescent="0.2">
      <c r="A5" s="482">
        <v>2008</v>
      </c>
      <c r="B5" s="569">
        <v>3321744.5</v>
      </c>
      <c r="C5" s="569">
        <v>7253762.5548387095</v>
      </c>
      <c r="D5" s="569">
        <v>3055933.2</v>
      </c>
      <c r="E5" s="569">
        <v>6424467.6734693879</v>
      </c>
      <c r="F5" s="570">
        <f t="shared" ref="F5:F12" si="0">(B5-C5)/C5</f>
        <v>-0.54206600024642515</v>
      </c>
      <c r="G5" s="571"/>
    </row>
    <row r="6" spans="1:7" x14ac:dyDescent="0.2">
      <c r="A6" s="486">
        <v>2009</v>
      </c>
      <c r="B6" s="569">
        <v>4059315.2571428572</v>
      </c>
      <c r="C6" s="569">
        <v>5371856.647887324</v>
      </c>
      <c r="D6" s="569">
        <v>4520268.2</v>
      </c>
      <c r="E6" s="569">
        <v>5096049.5549450554</v>
      </c>
      <c r="F6" s="570">
        <f t="shared" si="0"/>
        <v>-0.24433663754982571</v>
      </c>
      <c r="G6" s="571"/>
    </row>
    <row r="7" spans="1:7" x14ac:dyDescent="0.2">
      <c r="A7" s="486">
        <v>2010</v>
      </c>
      <c r="B7" s="569">
        <v>3699720.4750000001</v>
      </c>
      <c r="C7" s="569">
        <v>5918066.3522012578</v>
      </c>
      <c r="D7" s="569">
        <v>5798159.25</v>
      </c>
      <c r="E7" s="569">
        <v>5478591.1625615768</v>
      </c>
      <c r="F7" s="570">
        <f t="shared" si="0"/>
        <v>-0.37484302222737526</v>
      </c>
      <c r="G7" s="571"/>
    </row>
    <row r="8" spans="1:7" x14ac:dyDescent="0.2">
      <c r="A8" s="486">
        <v>2011</v>
      </c>
      <c r="B8" s="569">
        <v>3485638</v>
      </c>
      <c r="C8" s="569">
        <v>6140488.6973684207</v>
      </c>
      <c r="D8" s="569">
        <v>4348658.4285714282</v>
      </c>
      <c r="E8" s="569">
        <v>5473882.8980582524</v>
      </c>
      <c r="F8" s="570">
        <f t="shared" si="0"/>
        <v>-0.43235169515191657</v>
      </c>
      <c r="G8" s="571"/>
    </row>
    <row r="9" spans="1:7" x14ac:dyDescent="0.2">
      <c r="A9" s="486">
        <v>2012</v>
      </c>
      <c r="B9" s="569">
        <v>3448711.8695652173</v>
      </c>
      <c r="C9" s="569">
        <v>5690462.2101910831</v>
      </c>
      <c r="D9" s="569">
        <v>2271970.3333333335</v>
      </c>
      <c r="E9" s="569">
        <v>5098924.0909090908</v>
      </c>
      <c r="F9" s="570">
        <f t="shared" si="0"/>
        <v>-0.39394872645162315</v>
      </c>
      <c r="G9" s="571"/>
    </row>
    <row r="10" spans="1:7" x14ac:dyDescent="0.2">
      <c r="A10" s="486">
        <v>2013</v>
      </c>
      <c r="B10" s="569">
        <v>3185352.0208333335</v>
      </c>
      <c r="C10" s="569">
        <v>5591591.4052287582</v>
      </c>
      <c r="D10" s="569">
        <v>1544674.2857142857</v>
      </c>
      <c r="E10" s="569">
        <v>4900111.067307692</v>
      </c>
      <c r="F10" s="570">
        <f t="shared" si="0"/>
        <v>-0.43033176246485466</v>
      </c>
      <c r="G10" s="571"/>
    </row>
    <row r="11" spans="1:7" x14ac:dyDescent="0.2">
      <c r="A11" s="488">
        <v>2014</v>
      </c>
      <c r="B11" s="569">
        <v>2830989.5227272729</v>
      </c>
      <c r="C11" s="569">
        <v>4348356.2193548391</v>
      </c>
      <c r="D11" s="569">
        <v>155306.75</v>
      </c>
      <c r="E11" s="569">
        <v>3936847.1921182266</v>
      </c>
      <c r="F11" s="570">
        <f t="shared" si="0"/>
        <v>-0.34895179237470481</v>
      </c>
      <c r="G11" s="571"/>
    </row>
    <row r="12" spans="1:7" x14ac:dyDescent="0.2">
      <c r="A12" s="488">
        <v>2015</v>
      </c>
      <c r="B12" s="569">
        <v>3498468.886792453</v>
      </c>
      <c r="C12" s="569">
        <v>4701964.6892655371</v>
      </c>
      <c r="D12" s="569">
        <v>1530583.75</v>
      </c>
      <c r="E12" s="569">
        <v>4375166.393162393</v>
      </c>
      <c r="F12" s="570">
        <f t="shared" si="0"/>
        <v>-0.25595594225125373</v>
      </c>
      <c r="G12" s="571"/>
    </row>
    <row r="13" spans="1:7" x14ac:dyDescent="0.2">
      <c r="A13" s="488">
        <v>2016</v>
      </c>
      <c r="B13" s="569">
        <v>2576224.480769231</v>
      </c>
      <c r="C13" s="569">
        <v>6519181.4355828222</v>
      </c>
      <c r="D13" s="569">
        <v>2032651.1666666667</v>
      </c>
      <c r="E13" s="569">
        <v>5469620.6063348418</v>
      </c>
      <c r="F13" s="570">
        <v>-0.6</v>
      </c>
      <c r="G13" s="571"/>
    </row>
    <row r="14" spans="1:7" x14ac:dyDescent="0.2">
      <c r="A14" s="572">
        <v>2017</v>
      </c>
      <c r="B14" s="573">
        <v>3465804.4642857141</v>
      </c>
      <c r="C14" s="573">
        <v>5506507.871794872</v>
      </c>
      <c r="D14" s="573">
        <v>3577994.3</v>
      </c>
      <c r="E14" s="573">
        <v>4904865.8603603607</v>
      </c>
      <c r="F14" s="574">
        <v>-0.37</v>
      </c>
      <c r="G14" s="571"/>
    </row>
    <row r="15" spans="1:7" x14ac:dyDescent="0.2">
      <c r="A15" s="20" t="s">
        <v>822</v>
      </c>
    </row>
    <row r="16" spans="1:7" x14ac:dyDescent="0.2">
      <c r="A16" s="20" t="s">
        <v>828</v>
      </c>
    </row>
    <row r="18" spans="1:1" x14ac:dyDescent="0.2">
      <c r="A18" s="20" t="s">
        <v>819</v>
      </c>
    </row>
    <row r="20" spans="1:1" x14ac:dyDescent="0.2">
      <c r="A20" s="195"/>
    </row>
  </sheetData>
  <mergeCells count="1">
    <mergeCell ref="B3:E3"/>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election activeCell="A19" sqref="A19"/>
    </sheetView>
  </sheetViews>
  <sheetFormatPr baseColWidth="10" defaultColWidth="9.140625" defaultRowHeight="11.25" x14ac:dyDescent="0.2"/>
  <cols>
    <col min="1" max="1" width="43.140625" style="20" customWidth="1"/>
    <col min="2" max="2" width="19" style="20" customWidth="1"/>
    <col min="3" max="3" width="16.7109375" style="20" customWidth="1"/>
    <col min="4" max="4" width="13.140625" style="20" customWidth="1"/>
    <col min="5" max="5" width="15.140625" style="20" customWidth="1"/>
    <col min="6" max="6" width="12.5703125" style="20" customWidth="1"/>
    <col min="7" max="7" width="16.28515625" style="20" customWidth="1"/>
    <col min="8" max="16384" width="9.140625" style="20"/>
  </cols>
  <sheetData>
    <row r="1" spans="1:10" x14ac:dyDescent="0.2">
      <c r="A1" s="19" t="s">
        <v>865</v>
      </c>
    </row>
    <row r="2" spans="1:10" x14ac:dyDescent="0.2">
      <c r="B2" s="691"/>
      <c r="C2" s="691"/>
      <c r="D2" s="691"/>
      <c r="E2" s="691"/>
      <c r="F2" s="19"/>
      <c r="G2" s="19"/>
      <c r="H2" s="19"/>
      <c r="I2" s="19"/>
    </row>
    <row r="3" spans="1:10" ht="45" x14ac:dyDescent="0.2">
      <c r="B3" s="301" t="s">
        <v>568</v>
      </c>
      <c r="C3" s="301" t="s">
        <v>569</v>
      </c>
      <c r="D3" s="301" t="s">
        <v>570</v>
      </c>
      <c r="E3" s="301" t="s">
        <v>571</v>
      </c>
      <c r="F3" s="301" t="s">
        <v>572</v>
      </c>
      <c r="G3" s="301" t="s">
        <v>573</v>
      </c>
      <c r="H3" s="301" t="s">
        <v>574</v>
      </c>
      <c r="I3" s="49"/>
      <c r="J3" s="49"/>
    </row>
    <row r="4" spans="1:10" ht="15.75" customHeight="1" x14ac:dyDescent="0.2">
      <c r="A4" s="19" t="s">
        <v>575</v>
      </c>
      <c r="B4" s="20">
        <v>1354</v>
      </c>
      <c r="C4" s="20">
        <v>3339</v>
      </c>
      <c r="D4" s="20">
        <v>5431</v>
      </c>
      <c r="E4" s="20">
        <v>4652</v>
      </c>
      <c r="F4" s="20">
        <v>385</v>
      </c>
      <c r="G4" s="20">
        <v>147</v>
      </c>
      <c r="H4" s="19">
        <f>SUM(B4:G4)</f>
        <v>15308</v>
      </c>
    </row>
    <row r="5" spans="1:10" ht="15.75" customHeight="1" x14ac:dyDescent="0.2">
      <c r="A5" s="19" t="s">
        <v>576</v>
      </c>
      <c r="B5" s="294">
        <f>530/1354</f>
        <v>0.39143279172821271</v>
      </c>
      <c r="C5" s="294">
        <f>1179/3339</f>
        <v>0.35309973045822102</v>
      </c>
      <c r="D5" s="294">
        <f>1697/5431</f>
        <v>0.312465475971276</v>
      </c>
      <c r="E5" s="294">
        <f>1553/4652</f>
        <v>0.33383490971625107</v>
      </c>
      <c r="F5" s="294">
        <f>143/385</f>
        <v>0.37142857142857144</v>
      </c>
      <c r="G5" s="294">
        <f>79/147</f>
        <v>0.5374149659863946</v>
      </c>
      <c r="H5" s="294">
        <f>SUMPRODUCT(B4:G4,B5:G5)/H4</f>
        <v>0.33845048340736872</v>
      </c>
    </row>
    <row r="6" spans="1:10" x14ac:dyDescent="0.2">
      <c r="A6" s="19" t="s">
        <v>577</v>
      </c>
      <c r="B6" s="20">
        <v>94</v>
      </c>
      <c r="C6" s="20">
        <v>798</v>
      </c>
      <c r="D6" s="20">
        <v>2449</v>
      </c>
      <c r="E6" s="20">
        <v>2597</v>
      </c>
      <c r="F6" s="20">
        <v>171</v>
      </c>
      <c r="G6" s="20">
        <v>76</v>
      </c>
      <c r="H6" s="19">
        <f>SUM(B6:G6)</f>
        <v>6185</v>
      </c>
    </row>
    <row r="7" spans="1:10" x14ac:dyDescent="0.2">
      <c r="A7" s="19" t="s">
        <v>578</v>
      </c>
      <c r="B7" s="294">
        <f>31/94</f>
        <v>0.32978723404255317</v>
      </c>
      <c r="C7" s="294">
        <f>280/798</f>
        <v>0.35087719298245612</v>
      </c>
      <c r="D7" s="294">
        <f>806/2449</f>
        <v>0.32911392405063289</v>
      </c>
      <c r="E7" s="294">
        <f>889/2597</f>
        <v>0.3423180592991914</v>
      </c>
      <c r="F7" s="294">
        <f>58/171</f>
        <v>0.33918128654970758</v>
      </c>
      <c r="G7" s="294">
        <f>38/76</f>
        <v>0.5</v>
      </c>
      <c r="H7" s="294">
        <f>SUMPRODUCT(B6:G6,B7:G7)/H6</f>
        <v>0.33985448666127727</v>
      </c>
    </row>
    <row r="8" spans="1:10" x14ac:dyDescent="0.2">
      <c r="A8" s="19" t="s">
        <v>579</v>
      </c>
      <c r="B8" s="295">
        <v>10</v>
      </c>
      <c r="C8" s="295">
        <v>178</v>
      </c>
      <c r="D8" s="295">
        <f>930</f>
        <v>930</v>
      </c>
      <c r="E8" s="295">
        <v>1118</v>
      </c>
      <c r="F8" s="295">
        <v>108</v>
      </c>
      <c r="G8" s="295">
        <v>18</v>
      </c>
      <c r="H8" s="19">
        <f>SUM(B8:G8)</f>
        <v>2362</v>
      </c>
    </row>
    <row r="9" spans="1:10" x14ac:dyDescent="0.2">
      <c r="A9" s="19" t="s">
        <v>580</v>
      </c>
      <c r="B9" s="294">
        <f>4/10</f>
        <v>0.4</v>
      </c>
      <c r="C9" s="294">
        <f>73/178</f>
        <v>0.4101123595505618</v>
      </c>
      <c r="D9" s="294">
        <f>320/930</f>
        <v>0.34408602150537637</v>
      </c>
      <c r="E9" s="294">
        <f>406/1118</f>
        <v>0.36314847942754919</v>
      </c>
      <c r="F9" s="294">
        <f>39/108</f>
        <v>0.3611111111111111</v>
      </c>
      <c r="G9" s="294">
        <f>8/18</f>
        <v>0.44444444444444442</v>
      </c>
      <c r="H9" s="294">
        <f>SUMPRODUCT(B8:G8,B9:G9)/H8</f>
        <v>0.35986452159187132</v>
      </c>
    </row>
    <row r="10" spans="1:10" x14ac:dyDescent="0.2">
      <c r="A10" s="293"/>
      <c r="B10" s="294"/>
      <c r="C10" s="294"/>
      <c r="D10" s="294"/>
      <c r="E10" s="294"/>
      <c r="F10" s="294"/>
      <c r="G10" s="294"/>
    </row>
    <row r="11" spans="1:10" x14ac:dyDescent="0.2">
      <c r="A11" s="293" t="s">
        <v>581</v>
      </c>
      <c r="B11" s="294"/>
      <c r="C11" s="294"/>
      <c r="D11" s="294"/>
      <c r="E11" s="294"/>
      <c r="F11" s="294"/>
      <c r="G11" s="294"/>
    </row>
    <row r="12" spans="1:10" x14ac:dyDescent="0.2">
      <c r="A12" s="20" t="s">
        <v>582</v>
      </c>
      <c r="B12" s="297">
        <v>0.17</v>
      </c>
      <c r="C12" s="297">
        <v>0.2</v>
      </c>
      <c r="D12" s="297">
        <v>0.24</v>
      </c>
      <c r="E12" s="297">
        <v>0.26</v>
      </c>
      <c r="F12" s="297">
        <v>0.22</v>
      </c>
      <c r="G12" s="297">
        <v>0.18</v>
      </c>
      <c r="H12" s="230">
        <f t="shared" ref="H12:H17" si="0">SUMPRODUCT(B$6:G$6,B12:G12)/H$6</f>
        <v>0.24088278092158447</v>
      </c>
      <c r="I12" s="298"/>
    </row>
    <row r="13" spans="1:10" x14ac:dyDescent="0.2">
      <c r="A13" s="20" t="s">
        <v>583</v>
      </c>
      <c r="B13" s="297">
        <v>0.25</v>
      </c>
      <c r="C13" s="297">
        <v>0.35</v>
      </c>
      <c r="D13" s="297">
        <v>0.38</v>
      </c>
      <c r="E13" s="297">
        <v>0.35</v>
      </c>
      <c r="F13" s="297">
        <v>0.27</v>
      </c>
      <c r="G13" s="299" t="s">
        <v>79</v>
      </c>
      <c r="H13" s="230">
        <f t="shared" si="0"/>
        <v>0.35384640258690381</v>
      </c>
      <c r="I13" s="300"/>
    </row>
    <row r="14" spans="1:10" x14ac:dyDescent="0.2">
      <c r="A14" s="20" t="s">
        <v>584</v>
      </c>
      <c r="B14" s="297">
        <v>0.32</v>
      </c>
      <c r="C14" s="297">
        <v>0.42</v>
      </c>
      <c r="D14" s="297">
        <v>0.42</v>
      </c>
      <c r="E14" s="297">
        <v>0.43</v>
      </c>
      <c r="F14" s="297">
        <v>0.44</v>
      </c>
      <c r="G14" s="299" t="s">
        <v>79</v>
      </c>
      <c r="H14" s="230">
        <f t="shared" si="0"/>
        <v>0.41807113985448657</v>
      </c>
      <c r="I14" s="298"/>
    </row>
    <row r="15" spans="1:10" x14ac:dyDescent="0.2">
      <c r="A15" s="20" t="s">
        <v>585</v>
      </c>
      <c r="B15" s="297">
        <v>0.32</v>
      </c>
      <c r="C15" s="297">
        <v>0.34</v>
      </c>
      <c r="D15" s="297">
        <v>0.33</v>
      </c>
      <c r="E15" s="297">
        <v>0.34</v>
      </c>
      <c r="F15" s="297">
        <v>0.34</v>
      </c>
      <c r="G15" s="297">
        <v>0.35</v>
      </c>
      <c r="H15" s="230">
        <f t="shared" si="0"/>
        <v>0.33585933710590138</v>
      </c>
      <c r="I15" s="300"/>
    </row>
    <row r="16" spans="1:10" x14ac:dyDescent="0.2">
      <c r="A16" s="20" t="s">
        <v>586</v>
      </c>
      <c r="B16" s="297">
        <v>0.38</v>
      </c>
      <c r="C16" s="297">
        <v>0.37</v>
      </c>
      <c r="D16" s="297">
        <v>0.31</v>
      </c>
      <c r="E16" s="297">
        <v>0.35</v>
      </c>
      <c r="F16" s="297">
        <v>0.3</v>
      </c>
      <c r="G16" s="297">
        <v>0.56999999999999995</v>
      </c>
      <c r="H16" s="230">
        <f t="shared" si="0"/>
        <v>0.33851899757477771</v>
      </c>
      <c r="I16" s="298"/>
    </row>
    <row r="17" spans="1:9" x14ac:dyDescent="0.2">
      <c r="A17" s="20" t="s">
        <v>587</v>
      </c>
      <c r="B17" s="297">
        <v>0.44</v>
      </c>
      <c r="C17" s="297">
        <v>0.39</v>
      </c>
      <c r="D17" s="297">
        <v>0.37</v>
      </c>
      <c r="E17" s="297">
        <v>0.36</v>
      </c>
      <c r="F17" s="297">
        <v>0.44</v>
      </c>
      <c r="G17" s="297">
        <v>0.41</v>
      </c>
      <c r="H17" s="230">
        <f t="shared" si="0"/>
        <v>0.37187227162489889</v>
      </c>
      <c r="I17" s="298"/>
    </row>
    <row r="18" spans="1:9" x14ac:dyDescent="0.2">
      <c r="A18" s="296"/>
      <c r="B18" s="297"/>
      <c r="C18" s="297"/>
      <c r="D18" s="297"/>
      <c r="E18" s="297"/>
      <c r="F18" s="297"/>
      <c r="G18" s="297"/>
      <c r="H18" s="230"/>
      <c r="I18" s="298"/>
    </row>
    <row r="19" spans="1:9" x14ac:dyDescent="0.2">
      <c r="A19" s="20" t="s">
        <v>957</v>
      </c>
    </row>
    <row r="23" spans="1:9" x14ac:dyDescent="0.2">
      <c r="A23" s="195"/>
    </row>
  </sheetData>
  <mergeCells count="1">
    <mergeCell ref="B2:E2"/>
  </mergeCells>
  <pageMargins left="0.78749999999999998" right="0.78749999999999998" top="1.0249999999999999" bottom="1.0249999999999999" header="0.78749999999999998" footer="0.78749999999999998"/>
  <pageSetup paperSize="9" firstPageNumber="0" orientation="portrait" verticalDpi="0" r:id="rId1"/>
  <headerFooter>
    <oddHeader>&amp;C&amp;"Arial,Normal"&amp;10&amp;A</oddHeader>
    <oddFooter>&amp;C&amp;"Arial,Normal"&amp;10Page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zoomScaleNormal="100" workbookViewId="0">
      <selection activeCell="A13" sqref="A13"/>
    </sheetView>
  </sheetViews>
  <sheetFormatPr baseColWidth="10" defaultColWidth="9.140625" defaultRowHeight="11.25" x14ac:dyDescent="0.2"/>
  <cols>
    <col min="1" max="1" width="25.28515625" style="20" customWidth="1"/>
    <col min="2" max="4" width="9.140625" style="20"/>
    <col min="5" max="5" width="10.28515625" style="20" bestFit="1" customWidth="1"/>
    <col min="6" max="6" width="10.7109375" style="20" customWidth="1"/>
    <col min="7" max="7" width="11.85546875" style="20" customWidth="1"/>
    <col min="8" max="10" width="10.85546875" style="20" customWidth="1"/>
    <col min="11" max="16384" width="9.140625" style="20"/>
  </cols>
  <sheetData>
    <row r="1" spans="1:10" x14ac:dyDescent="0.2">
      <c r="A1" s="19" t="s">
        <v>805</v>
      </c>
    </row>
    <row r="2" spans="1:10" x14ac:dyDescent="0.2">
      <c r="A2" s="19"/>
    </row>
    <row r="3" spans="1:10" ht="22.5" x14ac:dyDescent="0.2">
      <c r="B3" s="693" t="s">
        <v>902</v>
      </c>
      <c r="C3" s="693"/>
      <c r="D3" s="693"/>
      <c r="E3" s="693"/>
      <c r="F3" s="121" t="s">
        <v>907</v>
      </c>
      <c r="G3" s="121" t="s">
        <v>652</v>
      </c>
      <c r="H3" s="121" t="s">
        <v>653</v>
      </c>
      <c r="I3" s="121" t="s">
        <v>654</v>
      </c>
      <c r="J3" s="121" t="s">
        <v>655</v>
      </c>
    </row>
    <row r="4" spans="1:10" ht="22.5" x14ac:dyDescent="0.2">
      <c r="B4" s="121" t="s">
        <v>4</v>
      </c>
      <c r="C4" s="121" t="s">
        <v>5</v>
      </c>
      <c r="D4" s="121" t="s">
        <v>6</v>
      </c>
      <c r="E4" s="121" t="s">
        <v>7</v>
      </c>
      <c r="F4" s="121" t="s">
        <v>7</v>
      </c>
      <c r="G4" s="121" t="s">
        <v>7</v>
      </c>
      <c r="H4" s="121" t="s">
        <v>7</v>
      </c>
      <c r="I4" s="121" t="s">
        <v>7</v>
      </c>
      <c r="J4" s="121" t="s">
        <v>7</v>
      </c>
    </row>
    <row r="5" spans="1:10" x14ac:dyDescent="0.2">
      <c r="A5" s="19" t="s">
        <v>806</v>
      </c>
    </row>
    <row r="6" spans="1:10" x14ac:dyDescent="0.2">
      <c r="A6" s="20" t="s">
        <v>318</v>
      </c>
      <c r="B6" s="20">
        <v>7</v>
      </c>
      <c r="C6" s="20">
        <v>12</v>
      </c>
      <c r="D6" s="19">
        <f>SUM(B6+C6)</f>
        <v>19</v>
      </c>
      <c r="E6" s="506">
        <f>(B6*100)/D6</f>
        <v>36.842105263157897</v>
      </c>
      <c r="F6" s="230">
        <v>0.35</v>
      </c>
      <c r="G6" s="298">
        <v>0.31578947368421051</v>
      </c>
      <c r="H6" s="298">
        <v>0.26</v>
      </c>
      <c r="I6" s="298">
        <v>0.22</v>
      </c>
      <c r="J6" s="298">
        <v>0.28000000000000003</v>
      </c>
    </row>
    <row r="7" spans="1:10" x14ac:dyDescent="0.2">
      <c r="A7" s="20" t="s">
        <v>807</v>
      </c>
      <c r="B7" s="20">
        <v>5</v>
      </c>
      <c r="C7" s="20">
        <v>2</v>
      </c>
      <c r="D7" s="19">
        <f>B7+C7</f>
        <v>7</v>
      </c>
      <c r="E7" s="506">
        <f>(B7*100)/D7</f>
        <v>71.428571428571431</v>
      </c>
      <c r="F7" s="230">
        <v>0.5</v>
      </c>
      <c r="G7" s="298">
        <v>0.3888888888888889</v>
      </c>
      <c r="H7" s="298">
        <v>0.39</v>
      </c>
      <c r="I7" s="298">
        <v>0.5</v>
      </c>
      <c r="J7" s="298">
        <v>0.54</v>
      </c>
    </row>
    <row r="8" spans="1:10" x14ac:dyDescent="0.2">
      <c r="A8" s="19" t="s">
        <v>808</v>
      </c>
      <c r="D8" s="19"/>
      <c r="E8" s="230"/>
      <c r="F8" s="230"/>
      <c r="G8" s="298"/>
      <c r="H8" s="298"/>
      <c r="I8" s="298"/>
      <c r="J8" s="298"/>
    </row>
    <row r="9" spans="1:10" ht="22.5" x14ac:dyDescent="0.2">
      <c r="A9" s="49" t="s">
        <v>809</v>
      </c>
      <c r="B9" s="20">
        <v>5</v>
      </c>
      <c r="C9" s="20">
        <v>12</v>
      </c>
      <c r="D9" s="19">
        <f>B9+C9</f>
        <v>17</v>
      </c>
      <c r="E9" s="506">
        <f>(B9*100)/D9</f>
        <v>29.411764705882351</v>
      </c>
      <c r="F9" s="230">
        <v>0.36842105263157893</v>
      </c>
      <c r="G9" s="298">
        <v>0.33333333333333331</v>
      </c>
      <c r="H9" s="298">
        <v>0.53</v>
      </c>
      <c r="I9" s="298">
        <v>0.24</v>
      </c>
      <c r="J9" s="298">
        <v>0.27</v>
      </c>
    </row>
    <row r="10" spans="1:10" x14ac:dyDescent="0.2">
      <c r="A10" s="19" t="s">
        <v>722</v>
      </c>
      <c r="D10" s="19"/>
      <c r="E10" s="230"/>
      <c r="F10" s="230"/>
      <c r="G10" s="298"/>
      <c r="H10" s="298"/>
      <c r="I10" s="298"/>
      <c r="J10" s="298"/>
    </row>
    <row r="11" spans="1:10" x14ac:dyDescent="0.2">
      <c r="A11" s="20" t="s">
        <v>792</v>
      </c>
      <c r="B11" s="20">
        <v>11</v>
      </c>
      <c r="C11" s="20">
        <v>21</v>
      </c>
      <c r="D11" s="19">
        <f>(B11+C11)</f>
        <v>32</v>
      </c>
      <c r="E11" s="506">
        <f>(B11*100)/D11</f>
        <v>34.375</v>
      </c>
      <c r="F11" s="230">
        <v>0.33333333333333331</v>
      </c>
      <c r="G11" s="298">
        <v>0.30303030303030304</v>
      </c>
      <c r="H11" s="298">
        <v>0.3</v>
      </c>
      <c r="I11" s="298">
        <v>0.3</v>
      </c>
      <c r="J11" s="298">
        <v>0.3</v>
      </c>
    </row>
    <row r="12" spans="1:10" ht="134.25" customHeight="1" x14ac:dyDescent="0.2">
      <c r="A12" s="692" t="s">
        <v>810</v>
      </c>
      <c r="B12" s="692"/>
      <c r="C12" s="692"/>
      <c r="D12" s="692"/>
      <c r="E12" s="692"/>
      <c r="F12" s="692"/>
      <c r="G12" s="692"/>
      <c r="H12" s="692"/>
      <c r="I12" s="692"/>
      <c r="J12" s="298"/>
    </row>
    <row r="13" spans="1:10" ht="20.25" customHeight="1" x14ac:dyDescent="0.2">
      <c r="A13" s="20" t="s">
        <v>908</v>
      </c>
      <c r="E13" s="298"/>
      <c r="F13" s="298"/>
      <c r="G13" s="298"/>
      <c r="H13" s="298"/>
      <c r="I13" s="298"/>
      <c r="J13" s="298"/>
    </row>
  </sheetData>
  <mergeCells count="2">
    <mergeCell ref="B3:E3"/>
    <mergeCell ref="A12:I12"/>
  </mergeCells>
  <pageMargins left="0.78749999999999998" right="0.78749999999999998" top="1.0249999999999999" bottom="1.0249999999999999" header="0.78749999999999998" footer="0.78749999999999998"/>
  <pageSetup paperSize="9" firstPageNumber="0" orientation="landscape" r:id="rId1"/>
  <headerFooter>
    <oddHeader>&amp;C&amp;"Arial,Normal"&amp;10&amp;A</oddHeader>
    <oddFooter>&amp;C&amp;"Arial,Normal"&amp;10Page &amp;P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A18" sqref="A18:XFD18"/>
    </sheetView>
  </sheetViews>
  <sheetFormatPr baseColWidth="10" defaultRowHeight="11.25" x14ac:dyDescent="0.2"/>
  <cols>
    <col min="1" max="1" width="70.7109375" style="2" customWidth="1"/>
    <col min="2" max="2" width="7.28515625" style="2" bestFit="1" customWidth="1"/>
    <col min="3" max="3" width="10.5703125" style="2" bestFit="1" customWidth="1"/>
    <col min="4" max="16384" width="11.42578125" style="2"/>
  </cols>
  <sheetData>
    <row r="1" spans="1:3" x14ac:dyDescent="0.2">
      <c r="A1" s="19" t="s">
        <v>617</v>
      </c>
      <c r="B1" s="20"/>
      <c r="C1" s="20"/>
    </row>
    <row r="2" spans="1:3" x14ac:dyDescent="0.2">
      <c r="A2" s="19"/>
      <c r="B2" s="20"/>
      <c r="C2" s="20"/>
    </row>
    <row r="3" spans="1:3" x14ac:dyDescent="0.2">
      <c r="A3" s="223"/>
      <c r="B3" s="662" t="s">
        <v>588</v>
      </c>
      <c r="C3" s="663" t="s">
        <v>553</v>
      </c>
    </row>
    <row r="4" spans="1:3" x14ac:dyDescent="0.2">
      <c r="A4" s="223" t="s">
        <v>575</v>
      </c>
      <c r="B4" s="605">
        <v>1383</v>
      </c>
      <c r="C4" s="664"/>
    </row>
    <row r="5" spans="1:3" x14ac:dyDescent="0.2">
      <c r="A5" s="665" t="s">
        <v>589</v>
      </c>
      <c r="B5" s="666">
        <v>15.47360809833695</v>
      </c>
      <c r="C5" s="667"/>
    </row>
    <row r="6" spans="1:3" x14ac:dyDescent="0.2">
      <c r="A6" s="223" t="s">
        <v>577</v>
      </c>
      <c r="B6" s="605">
        <v>357</v>
      </c>
      <c r="C6" s="668"/>
    </row>
    <row r="7" spans="1:3" x14ac:dyDescent="0.2">
      <c r="A7" s="665" t="s">
        <v>578</v>
      </c>
      <c r="B7" s="666">
        <v>20.448179271708682</v>
      </c>
      <c r="C7" s="667"/>
    </row>
    <row r="8" spans="1:3" x14ac:dyDescent="0.2">
      <c r="A8" s="223" t="s">
        <v>579</v>
      </c>
      <c r="B8" s="605">
        <v>66</v>
      </c>
      <c r="C8" s="668"/>
    </row>
    <row r="9" spans="1:3" x14ac:dyDescent="0.2">
      <c r="A9" s="665" t="s">
        <v>580</v>
      </c>
      <c r="B9" s="666">
        <v>31.818181818181817</v>
      </c>
      <c r="C9" s="667"/>
    </row>
    <row r="10" spans="1:3" x14ac:dyDescent="0.2">
      <c r="A10" s="665"/>
      <c r="B10" s="605"/>
      <c r="C10" s="667"/>
    </row>
    <row r="11" spans="1:3" x14ac:dyDescent="0.2">
      <c r="A11" s="665" t="s">
        <v>581</v>
      </c>
      <c r="B11" s="605"/>
      <c r="C11" s="664"/>
    </row>
    <row r="12" spans="1:3" x14ac:dyDescent="0.2">
      <c r="A12" s="605" t="s">
        <v>590</v>
      </c>
      <c r="B12" s="669">
        <v>7.0000000000000007E-2</v>
      </c>
      <c r="C12" s="670"/>
    </row>
    <row r="13" spans="1:3" x14ac:dyDescent="0.2">
      <c r="A13" s="605" t="s">
        <v>591</v>
      </c>
      <c r="B13" s="669">
        <v>0.23</v>
      </c>
      <c r="C13" s="671"/>
    </row>
    <row r="14" spans="1:3" x14ac:dyDescent="0.2">
      <c r="A14" s="605" t="s">
        <v>592</v>
      </c>
      <c r="B14" s="669">
        <v>0.36</v>
      </c>
      <c r="C14" s="671"/>
    </row>
    <row r="15" spans="1:3" x14ac:dyDescent="0.2">
      <c r="A15" s="605" t="s">
        <v>593</v>
      </c>
      <c r="B15" s="669">
        <v>7.0000000000000007E-2</v>
      </c>
      <c r="C15" s="671"/>
    </row>
    <row r="16" spans="1:3" x14ac:dyDescent="0.2">
      <c r="A16" s="605" t="s">
        <v>594</v>
      </c>
      <c r="B16" s="669">
        <v>0.01</v>
      </c>
      <c r="C16" s="670"/>
    </row>
    <row r="17" spans="1:3" x14ac:dyDescent="0.2">
      <c r="A17" s="605" t="s">
        <v>595</v>
      </c>
      <c r="B17" s="669" t="s">
        <v>79</v>
      </c>
      <c r="C17" s="670"/>
    </row>
    <row r="18" spans="1:3" x14ac:dyDescent="0.2">
      <c r="A18" s="296" t="s">
        <v>596</v>
      </c>
      <c r="B18" s="20"/>
      <c r="C18" s="20"/>
    </row>
    <row r="20" spans="1:3" x14ac:dyDescent="0.2">
      <c r="A20" s="20" t="s">
        <v>940</v>
      </c>
    </row>
    <row r="28" spans="1:3" x14ac:dyDescent="0.2">
      <c r="A28" s="2" t="s">
        <v>794</v>
      </c>
    </row>
  </sheetData>
  <pageMargins left="0.25" right="0.25"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Normal="100" workbookViewId="0">
      <selection activeCell="L8" sqref="L8"/>
    </sheetView>
  </sheetViews>
  <sheetFormatPr baseColWidth="10" defaultColWidth="9.140625" defaultRowHeight="11.25" x14ac:dyDescent="0.2"/>
  <cols>
    <col min="1" max="1" width="21.28515625" style="20" customWidth="1"/>
    <col min="2" max="2" width="11.140625" style="20" customWidth="1"/>
    <col min="3" max="3" width="9.140625" style="20"/>
    <col min="4" max="4" width="10.5703125" style="20" customWidth="1"/>
    <col min="5" max="16384" width="9.140625" style="20"/>
  </cols>
  <sheetData>
    <row r="1" spans="1:10" ht="24" customHeight="1" x14ac:dyDescent="0.2">
      <c r="A1" s="751" t="s">
        <v>618</v>
      </c>
      <c r="B1" s="751"/>
      <c r="C1" s="751"/>
      <c r="D1" s="751"/>
      <c r="E1" s="751"/>
      <c r="F1" s="751"/>
      <c r="G1" s="751"/>
      <c r="H1" s="751"/>
      <c r="I1" s="751"/>
      <c r="J1" s="751"/>
    </row>
    <row r="2" spans="1:10" x14ac:dyDescent="0.2">
      <c r="A2" s="19"/>
      <c r="B2" s="19"/>
    </row>
    <row r="3" spans="1:10" x14ac:dyDescent="0.2">
      <c r="B3" s="714">
        <v>2017</v>
      </c>
      <c r="C3" s="716"/>
      <c r="D3" s="714">
        <v>2016</v>
      </c>
      <c r="E3" s="716"/>
      <c r="F3" s="99">
        <v>2015</v>
      </c>
      <c r="G3" s="223">
        <v>2014</v>
      </c>
      <c r="H3" s="223">
        <v>2013</v>
      </c>
      <c r="I3" s="223">
        <v>2012</v>
      </c>
      <c r="J3" s="223">
        <v>2011</v>
      </c>
    </row>
    <row r="4" spans="1:10" ht="45" x14ac:dyDescent="0.2">
      <c r="B4" s="302" t="s">
        <v>619</v>
      </c>
      <c r="C4" s="303" t="s">
        <v>597</v>
      </c>
      <c r="D4" s="221" t="s">
        <v>620</v>
      </c>
      <c r="E4" s="28" t="s">
        <v>597</v>
      </c>
      <c r="F4" s="29" t="s">
        <v>597</v>
      </c>
      <c r="G4" s="29" t="s">
        <v>597</v>
      </c>
      <c r="H4" s="29" t="s">
        <v>597</v>
      </c>
      <c r="I4" s="29" t="s">
        <v>597</v>
      </c>
      <c r="J4" s="29" t="s">
        <v>597</v>
      </c>
    </row>
    <row r="5" spans="1:10" x14ac:dyDescent="0.2">
      <c r="A5" s="304" t="s">
        <v>598</v>
      </c>
      <c r="B5" s="305"/>
      <c r="C5" s="306"/>
      <c r="D5" s="305"/>
      <c r="E5" s="307"/>
      <c r="F5" s="308"/>
      <c r="G5" s="308"/>
      <c r="H5" s="308"/>
      <c r="I5" s="308"/>
      <c r="J5" s="308"/>
    </row>
    <row r="6" spans="1:10" x14ac:dyDescent="0.2">
      <c r="A6" s="20" t="s">
        <v>599</v>
      </c>
      <c r="B6" s="309">
        <v>292</v>
      </c>
      <c r="C6" s="672"/>
      <c r="D6" s="310">
        <v>362</v>
      </c>
      <c r="E6" s="311">
        <v>0.12</v>
      </c>
      <c r="F6" s="312">
        <v>0.42817679558011051</v>
      </c>
      <c r="G6" s="312">
        <v>0.31</v>
      </c>
      <c r="H6" s="312">
        <v>0.17</v>
      </c>
      <c r="I6" s="312">
        <v>0.18</v>
      </c>
      <c r="J6" s="312">
        <v>0.32</v>
      </c>
    </row>
    <row r="7" spans="1:10" x14ac:dyDescent="0.2">
      <c r="A7" s="20" t="s">
        <v>600</v>
      </c>
      <c r="B7" s="309">
        <v>153</v>
      </c>
      <c r="C7" s="672"/>
      <c r="D7" s="310">
        <v>237</v>
      </c>
      <c r="E7" s="311">
        <v>0.08</v>
      </c>
      <c r="F7" s="312">
        <v>0.39662447257383965</v>
      </c>
      <c r="G7" s="312">
        <v>0.38</v>
      </c>
      <c r="H7" s="312">
        <v>0.08</v>
      </c>
      <c r="I7" s="312">
        <v>0.16</v>
      </c>
      <c r="J7" s="312">
        <v>0.26</v>
      </c>
    </row>
    <row r="8" spans="1:10" x14ac:dyDescent="0.2">
      <c r="A8" s="20" t="s">
        <v>601</v>
      </c>
      <c r="B8" s="309">
        <v>139</v>
      </c>
      <c r="C8" s="672"/>
      <c r="D8" s="310">
        <v>125</v>
      </c>
      <c r="E8" s="311">
        <v>0.35</v>
      </c>
      <c r="F8" s="312">
        <v>0.48799999999999999</v>
      </c>
      <c r="G8" s="312">
        <v>0.25</v>
      </c>
      <c r="H8" s="312">
        <v>0.36</v>
      </c>
      <c r="I8" s="312">
        <v>0.2</v>
      </c>
      <c r="J8" s="312">
        <v>0.41</v>
      </c>
    </row>
    <row r="9" spans="1:10" x14ac:dyDescent="0.2">
      <c r="A9" s="304" t="s">
        <v>602</v>
      </c>
      <c r="B9" s="305"/>
      <c r="C9" s="306"/>
      <c r="D9" s="305"/>
      <c r="E9" s="313"/>
      <c r="F9" s="308"/>
      <c r="G9" s="308"/>
      <c r="H9" s="308"/>
      <c r="I9" s="308"/>
      <c r="J9" s="308"/>
    </row>
    <row r="10" spans="1:10" x14ac:dyDescent="0.2">
      <c r="A10" s="20" t="s">
        <v>599</v>
      </c>
      <c r="B10" s="309">
        <v>873</v>
      </c>
      <c r="C10" s="311">
        <v>0.4</v>
      </c>
      <c r="D10" s="310">
        <v>1000</v>
      </c>
      <c r="E10" s="311">
        <v>0.23</v>
      </c>
      <c r="F10" s="312">
        <v>0.33</v>
      </c>
      <c r="G10" s="312">
        <v>0.25</v>
      </c>
      <c r="H10" s="312">
        <v>0.28000000000000003</v>
      </c>
      <c r="I10" s="312">
        <v>0.19</v>
      </c>
      <c r="J10" s="312">
        <v>0.36</v>
      </c>
    </row>
    <row r="11" spans="1:10" x14ac:dyDescent="0.2">
      <c r="A11" s="20" t="s">
        <v>600</v>
      </c>
      <c r="B11" s="309">
        <v>398</v>
      </c>
      <c r="C11" s="311">
        <v>0.33</v>
      </c>
      <c r="D11" s="310">
        <v>565</v>
      </c>
      <c r="E11" s="311">
        <v>0.19</v>
      </c>
      <c r="F11" s="312">
        <v>0.28999999999999998</v>
      </c>
      <c r="G11" s="312">
        <v>0.28000000000000003</v>
      </c>
      <c r="H11" s="312">
        <v>0.39</v>
      </c>
      <c r="I11" s="312">
        <v>0.22</v>
      </c>
      <c r="J11" s="312">
        <v>0.34</v>
      </c>
    </row>
    <row r="12" spans="1:10" x14ac:dyDescent="0.2">
      <c r="A12" s="20" t="s">
        <v>601</v>
      </c>
      <c r="B12" s="314">
        <v>475</v>
      </c>
      <c r="C12" s="315">
        <v>0.46</v>
      </c>
      <c r="D12" s="316">
        <v>435</v>
      </c>
      <c r="E12" s="315">
        <v>0.31</v>
      </c>
      <c r="F12" s="317">
        <v>0.35</v>
      </c>
      <c r="G12" s="317">
        <v>0.32</v>
      </c>
      <c r="H12" s="317">
        <v>0.21</v>
      </c>
      <c r="I12" s="317">
        <v>0.16</v>
      </c>
      <c r="J12" s="317">
        <v>0.38</v>
      </c>
    </row>
    <row r="14" spans="1:10" x14ac:dyDescent="0.2">
      <c r="A14" s="20" t="s">
        <v>645</v>
      </c>
    </row>
    <row r="16" spans="1:10" x14ac:dyDescent="0.2">
      <c r="A16" s="20" t="s">
        <v>308</v>
      </c>
    </row>
    <row r="26" ht="24" customHeight="1" x14ac:dyDescent="0.2"/>
  </sheetData>
  <mergeCells count="3">
    <mergeCell ref="A1:J1"/>
    <mergeCell ref="B3:C3"/>
    <mergeCell ref="D3:E3"/>
  </mergeCells>
  <pageMargins left="0.25" right="0.25" top="0.75" bottom="0.75" header="0.3" footer="0.3"/>
  <pageSetup paperSize="9" scale="92" firstPageNumber="0" fitToHeight="0" orientation="portrait" r:id="rId1"/>
  <headerFooter>
    <oddHeader>&amp;C&amp;"Arial,Normal"&amp;10&amp;A</oddHeader>
    <oddFooter>&amp;C&amp;"Arial,Normal"&amp;10Page &amp;P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zoomScaleNormal="100" workbookViewId="0">
      <selection activeCell="A16" sqref="A16"/>
    </sheetView>
  </sheetViews>
  <sheetFormatPr baseColWidth="10" defaultColWidth="9.140625" defaultRowHeight="11.25" x14ac:dyDescent="0.2"/>
  <cols>
    <col min="1" max="1" width="37.85546875" style="20" customWidth="1"/>
    <col min="2" max="2" width="12.85546875" style="20" bestFit="1" customWidth="1"/>
    <col min="3" max="3" width="7.140625" style="20" bestFit="1" customWidth="1"/>
    <col min="4" max="4" width="8.85546875" style="20" bestFit="1" customWidth="1"/>
    <col min="5" max="5" width="8.5703125" style="20" bestFit="1" customWidth="1"/>
    <col min="6" max="6" width="8.28515625" style="20" bestFit="1" customWidth="1"/>
    <col min="7" max="7" width="9.28515625" style="20" bestFit="1" customWidth="1"/>
    <col min="8" max="8" width="7.140625" style="20" bestFit="1" customWidth="1"/>
    <col min="9" max="9" width="8.85546875" style="20" bestFit="1" customWidth="1"/>
    <col min="10" max="10" width="8.5703125" style="20" bestFit="1" customWidth="1"/>
    <col min="11" max="15" width="8.28515625" style="20" bestFit="1" customWidth="1"/>
    <col min="16" max="16384" width="9.140625" style="20"/>
  </cols>
  <sheetData>
    <row r="1" spans="1:15" x14ac:dyDescent="0.2">
      <c r="A1" s="19" t="s">
        <v>662</v>
      </c>
      <c r="B1" s="19"/>
      <c r="C1" s="19"/>
      <c r="D1" s="19"/>
      <c r="E1" s="19"/>
      <c r="F1" s="19"/>
    </row>
    <row r="2" spans="1:15" x14ac:dyDescent="0.2">
      <c r="A2" s="19"/>
      <c r="B2" s="19"/>
      <c r="C2" s="19"/>
      <c r="D2" s="19"/>
      <c r="E2" s="19"/>
      <c r="F2" s="19"/>
    </row>
    <row r="3" spans="1:15" x14ac:dyDescent="0.2">
      <c r="B3" s="752">
        <v>2016</v>
      </c>
      <c r="C3" s="753"/>
      <c r="D3" s="753"/>
      <c r="E3" s="753"/>
      <c r="F3" s="754"/>
      <c r="G3" s="711">
        <v>2015</v>
      </c>
      <c r="H3" s="712"/>
      <c r="I3" s="712"/>
      <c r="J3" s="712"/>
      <c r="K3" s="713"/>
      <c r="L3" s="69">
        <v>2014</v>
      </c>
      <c r="M3" s="206">
        <v>2013</v>
      </c>
      <c r="N3" s="206">
        <v>2012</v>
      </c>
      <c r="O3" s="206">
        <v>2011</v>
      </c>
    </row>
    <row r="4" spans="1:15" ht="45" x14ac:dyDescent="0.2">
      <c r="B4" s="318" t="s">
        <v>603</v>
      </c>
      <c r="C4" s="319" t="s">
        <v>402</v>
      </c>
      <c r="D4" s="319" t="s">
        <v>5</v>
      </c>
      <c r="E4" s="319" t="s">
        <v>4</v>
      </c>
      <c r="F4" s="320" t="s">
        <v>7</v>
      </c>
      <c r="G4" s="221" t="s">
        <v>603</v>
      </c>
      <c r="H4" s="27" t="s">
        <v>402</v>
      </c>
      <c r="I4" s="27" t="s">
        <v>5</v>
      </c>
      <c r="J4" s="27" t="s">
        <v>4</v>
      </c>
      <c r="K4" s="28" t="s">
        <v>7</v>
      </c>
      <c r="L4" s="29" t="s">
        <v>7</v>
      </c>
      <c r="M4" s="29" t="s">
        <v>7</v>
      </c>
      <c r="N4" s="29" t="s">
        <v>7</v>
      </c>
      <c r="O4" s="29" t="s">
        <v>7</v>
      </c>
    </row>
    <row r="5" spans="1:15" x14ac:dyDescent="0.2">
      <c r="A5" s="19" t="s">
        <v>604</v>
      </c>
      <c r="B5" s="575"/>
      <c r="C5" s="576"/>
      <c r="D5" s="576"/>
      <c r="E5" s="576"/>
      <c r="F5" s="577"/>
      <c r="G5" s="578"/>
      <c r="H5" s="579"/>
      <c r="I5" s="579"/>
      <c r="J5" s="579"/>
      <c r="K5" s="580"/>
      <c r="L5" s="581"/>
      <c r="M5" s="582"/>
      <c r="N5" s="582"/>
      <c r="O5" s="582"/>
    </row>
    <row r="6" spans="1:15" x14ac:dyDescent="0.2">
      <c r="A6" s="20" t="s">
        <v>605</v>
      </c>
      <c r="B6" s="321">
        <v>1944</v>
      </c>
      <c r="C6" s="322">
        <v>54</v>
      </c>
      <c r="D6" s="322">
        <v>1355</v>
      </c>
      <c r="E6" s="322">
        <v>535</v>
      </c>
      <c r="F6" s="323">
        <f>E6/$G6</f>
        <v>0.30782508630609895</v>
      </c>
      <c r="G6" s="324">
        <v>1738</v>
      </c>
      <c r="H6" s="325">
        <v>87</v>
      </c>
      <c r="I6" s="325">
        <v>1252</v>
      </c>
      <c r="J6" s="325">
        <v>399</v>
      </c>
      <c r="K6" s="326">
        <f>J6/$G6</f>
        <v>0.22957422324510932</v>
      </c>
      <c r="L6" s="312">
        <v>0.22957422324510932</v>
      </c>
      <c r="M6" s="36">
        <v>0.23117870722433501</v>
      </c>
      <c r="N6" s="36">
        <v>0.24434126523505501</v>
      </c>
      <c r="O6" s="36">
        <v>0.238031914893617</v>
      </c>
    </row>
    <row r="7" spans="1:15" x14ac:dyDescent="0.2">
      <c r="A7" s="20" t="s">
        <v>606</v>
      </c>
      <c r="B7" s="321">
        <v>157</v>
      </c>
      <c r="C7" s="322">
        <v>1</v>
      </c>
      <c r="D7" s="322">
        <v>107</v>
      </c>
      <c r="E7" s="322">
        <v>49</v>
      </c>
      <c r="F7" s="323">
        <f>E7/$G7</f>
        <v>0.35251798561151076</v>
      </c>
      <c r="G7" s="324">
        <v>139</v>
      </c>
      <c r="H7" s="325">
        <v>2</v>
      </c>
      <c r="I7" s="325">
        <v>102</v>
      </c>
      <c r="J7" s="325">
        <v>35</v>
      </c>
      <c r="K7" s="326">
        <f>J7/$G7</f>
        <v>0.25179856115107913</v>
      </c>
      <c r="L7" s="312">
        <v>0.25179856115107913</v>
      </c>
      <c r="M7" s="36">
        <v>0.23648648648648599</v>
      </c>
      <c r="N7" s="36">
        <v>0.25</v>
      </c>
      <c r="O7" s="36">
        <v>0.25</v>
      </c>
    </row>
    <row r="8" spans="1:15" x14ac:dyDescent="0.2">
      <c r="A8" s="20" t="s">
        <v>607</v>
      </c>
      <c r="B8" s="321">
        <v>1787</v>
      </c>
      <c r="C8" s="322">
        <v>53</v>
      </c>
      <c r="D8" s="322">
        <v>1248</v>
      </c>
      <c r="E8" s="322">
        <v>486</v>
      </c>
      <c r="F8" s="323">
        <f>E8/$G8</f>
        <v>0.30393996247654786</v>
      </c>
      <c r="G8" s="324">
        <v>1599</v>
      </c>
      <c r="H8" s="325">
        <v>85</v>
      </c>
      <c r="I8" s="325">
        <v>1150</v>
      </c>
      <c r="J8" s="325">
        <v>364</v>
      </c>
      <c r="K8" s="326">
        <f>J8/$G8</f>
        <v>0.22764227642276422</v>
      </c>
      <c r="L8" s="312">
        <v>0.22764227642276422</v>
      </c>
      <c r="M8" s="36">
        <v>0.23086220789685699</v>
      </c>
      <c r="N8" s="36">
        <v>0.2440073755378</v>
      </c>
      <c r="O8" s="36">
        <v>0.23691860465116299</v>
      </c>
    </row>
    <row r="9" spans="1:15" x14ac:dyDescent="0.2">
      <c r="A9" s="19" t="s">
        <v>546</v>
      </c>
      <c r="B9" s="575"/>
      <c r="C9" s="576"/>
      <c r="D9" s="576"/>
      <c r="E9" s="576"/>
      <c r="F9" s="577"/>
      <c r="G9" s="578"/>
      <c r="H9" s="579"/>
      <c r="I9" s="579"/>
      <c r="J9" s="579"/>
      <c r="K9" s="580"/>
      <c r="L9" s="581"/>
      <c r="M9" s="582"/>
      <c r="N9" s="582"/>
      <c r="O9" s="582"/>
    </row>
    <row r="10" spans="1:15" x14ac:dyDescent="0.2">
      <c r="A10" s="20" t="s">
        <v>605</v>
      </c>
      <c r="B10" s="321">
        <v>1366</v>
      </c>
      <c r="C10" s="322">
        <v>60</v>
      </c>
      <c r="D10" s="322">
        <v>900</v>
      </c>
      <c r="E10" s="322">
        <v>406</v>
      </c>
      <c r="F10" s="323">
        <f>E10/$G10</f>
        <v>0.33443163097199341</v>
      </c>
      <c r="G10" s="324">
        <v>1214</v>
      </c>
      <c r="H10" s="325">
        <v>31</v>
      </c>
      <c r="I10" s="325">
        <v>802</v>
      </c>
      <c r="J10" s="325">
        <v>381</v>
      </c>
      <c r="K10" s="326">
        <f>J10/$G10</f>
        <v>0.31383855024711699</v>
      </c>
      <c r="L10" s="312">
        <v>0.31383855024711699</v>
      </c>
      <c r="M10" s="36">
        <v>0.325046040515654</v>
      </c>
      <c r="N10" s="36">
        <v>0.268368136117556</v>
      </c>
      <c r="O10" s="36">
        <v>0.34898278560250401</v>
      </c>
    </row>
    <row r="11" spans="1:15" x14ac:dyDescent="0.2">
      <c r="A11" s="20" t="s">
        <v>606</v>
      </c>
      <c r="B11" s="321">
        <v>182</v>
      </c>
      <c r="C11" s="322">
        <v>2</v>
      </c>
      <c r="D11" s="322">
        <v>108</v>
      </c>
      <c r="E11" s="322">
        <v>72</v>
      </c>
      <c r="F11" s="323">
        <f>E11/$G11</f>
        <v>0.4022346368715084</v>
      </c>
      <c r="G11" s="324">
        <v>179</v>
      </c>
      <c r="H11" s="325">
        <v>4</v>
      </c>
      <c r="I11" s="325">
        <v>116</v>
      </c>
      <c r="J11" s="325">
        <v>59</v>
      </c>
      <c r="K11" s="326">
        <f>J11/$G11</f>
        <v>0.32960893854748602</v>
      </c>
      <c r="L11" s="312">
        <v>0.32960893854748602</v>
      </c>
      <c r="M11" s="36">
        <v>0.32679738562091498</v>
      </c>
      <c r="N11" s="36">
        <v>0.30463576158940397</v>
      </c>
      <c r="O11" s="36">
        <v>0.375</v>
      </c>
    </row>
    <row r="12" spans="1:15" x14ac:dyDescent="0.2">
      <c r="A12" s="20" t="s">
        <v>607</v>
      </c>
      <c r="B12" s="327" t="s">
        <v>621</v>
      </c>
      <c r="C12" s="328">
        <v>58</v>
      </c>
      <c r="D12" s="328">
        <v>792</v>
      </c>
      <c r="E12" s="328">
        <v>334</v>
      </c>
      <c r="F12" s="323">
        <f>E12/$G12</f>
        <v>0.32270531400966185</v>
      </c>
      <c r="G12" s="329">
        <v>1035</v>
      </c>
      <c r="H12" s="330">
        <v>27</v>
      </c>
      <c r="I12" s="330">
        <v>686</v>
      </c>
      <c r="J12" s="330">
        <v>322</v>
      </c>
      <c r="K12" s="331">
        <f>J12/$G12</f>
        <v>0.31111111111111112</v>
      </c>
      <c r="L12" s="317">
        <v>0.31111111111111112</v>
      </c>
      <c r="M12" s="95">
        <v>0.32475884244372999</v>
      </c>
      <c r="N12" s="95">
        <v>0.26357267950963198</v>
      </c>
      <c r="O12" s="95">
        <v>0.34438305709023898</v>
      </c>
    </row>
    <row r="13" spans="1:15" x14ac:dyDescent="0.2">
      <c r="A13" s="20" t="s">
        <v>173</v>
      </c>
    </row>
    <row r="15" spans="1:15" x14ac:dyDescent="0.2">
      <c r="A15" s="20" t="s">
        <v>32</v>
      </c>
    </row>
    <row r="17" spans="1:1" x14ac:dyDescent="0.2">
      <c r="A17" s="20" t="s">
        <v>308</v>
      </c>
    </row>
    <row r="18" spans="1:1" x14ac:dyDescent="0.2">
      <c r="A18" s="195"/>
    </row>
    <row r="19" spans="1:1" x14ac:dyDescent="0.2">
      <c r="A19" s="195"/>
    </row>
  </sheetData>
  <mergeCells count="2">
    <mergeCell ref="B3:F3"/>
    <mergeCell ref="G3:K3"/>
  </mergeCells>
  <pageMargins left="0.25" right="0.25" top="0.75" bottom="0.75" header="0.3" footer="0.3"/>
  <pageSetup paperSize="9" scale="69" firstPageNumber="0" orientation="landscape" r:id="rId1"/>
  <headerFooter>
    <oddHeader>&amp;C&amp;"Arial,Normal"&amp;10&amp;A</oddHeader>
    <oddFooter>&amp;C&amp;"Arial,Normal"&amp;10Page &amp;P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zoomScaleNormal="100" workbookViewId="0">
      <selection activeCell="A10" sqref="A10:XFD10"/>
    </sheetView>
  </sheetViews>
  <sheetFormatPr baseColWidth="10" defaultColWidth="9.140625" defaultRowHeight="11.25" x14ac:dyDescent="0.2"/>
  <cols>
    <col min="1" max="1" width="27.85546875" style="20" customWidth="1"/>
    <col min="2" max="4" width="9.140625" style="20"/>
    <col min="5" max="5" width="15.5703125" style="20" customWidth="1"/>
    <col min="6" max="8" width="9.140625" style="20"/>
    <col min="9" max="9" width="15.85546875" style="20" customWidth="1"/>
    <col min="10" max="12" width="9.140625" style="20"/>
    <col min="13" max="13" width="22.5703125" style="20" customWidth="1"/>
    <col min="14" max="16384" width="9.140625" style="20"/>
  </cols>
  <sheetData>
    <row r="1" spans="1:16" x14ac:dyDescent="0.2">
      <c r="A1" s="19" t="s">
        <v>24</v>
      </c>
      <c r="B1" s="19"/>
      <c r="C1" s="19"/>
      <c r="D1" s="19"/>
      <c r="E1" s="19"/>
      <c r="F1" s="19"/>
      <c r="G1" s="19"/>
      <c r="H1" s="19"/>
      <c r="I1" s="19"/>
    </row>
    <row r="2" spans="1:16" x14ac:dyDescent="0.2">
      <c r="A2" s="19"/>
      <c r="B2" s="19"/>
      <c r="C2" s="19"/>
      <c r="D2" s="19"/>
      <c r="E2" s="19"/>
      <c r="F2" s="19"/>
      <c r="G2" s="19"/>
      <c r="H2" s="19"/>
      <c r="I2" s="19"/>
    </row>
    <row r="3" spans="1:16" x14ac:dyDescent="0.2">
      <c r="C3" s="691">
        <v>2018</v>
      </c>
      <c r="D3" s="691"/>
      <c r="E3" s="691"/>
      <c r="F3" s="23"/>
      <c r="G3" s="691">
        <v>2017</v>
      </c>
      <c r="H3" s="691"/>
      <c r="I3" s="691"/>
      <c r="J3" s="23"/>
      <c r="K3" s="755">
        <v>2016</v>
      </c>
      <c r="L3" s="746"/>
      <c r="M3" s="747"/>
      <c r="N3" s="21">
        <v>2015</v>
      </c>
      <c r="O3" s="21">
        <v>2014</v>
      </c>
      <c r="P3" s="21">
        <v>2013</v>
      </c>
    </row>
    <row r="4" spans="1:16" x14ac:dyDescent="0.2">
      <c r="C4" s="691" t="s">
        <v>25</v>
      </c>
      <c r="D4" s="691"/>
      <c r="E4" s="691"/>
      <c r="F4" s="23"/>
      <c r="G4" s="691" t="s">
        <v>25</v>
      </c>
      <c r="H4" s="691"/>
      <c r="I4" s="691"/>
      <c r="J4" s="23"/>
      <c r="K4" s="755" t="s">
        <v>25</v>
      </c>
      <c r="L4" s="746"/>
      <c r="M4" s="747"/>
      <c r="N4" s="21"/>
      <c r="O4" s="21"/>
      <c r="P4" s="21"/>
    </row>
    <row r="5" spans="1:16" ht="45" x14ac:dyDescent="0.2">
      <c r="B5" s="121" t="s">
        <v>26</v>
      </c>
      <c r="C5" s="19" t="s">
        <v>6</v>
      </c>
      <c r="D5" s="19" t="s">
        <v>4</v>
      </c>
      <c r="E5" s="19" t="s">
        <v>7</v>
      </c>
      <c r="F5" s="28" t="s">
        <v>27</v>
      </c>
      <c r="G5" s="19" t="s">
        <v>6</v>
      </c>
      <c r="H5" s="19" t="s">
        <v>4</v>
      </c>
      <c r="I5" s="19" t="s">
        <v>7</v>
      </c>
      <c r="J5" s="28" t="s">
        <v>28</v>
      </c>
      <c r="K5" s="22" t="s">
        <v>6</v>
      </c>
      <c r="L5" s="27" t="s">
        <v>4</v>
      </c>
      <c r="M5" s="204" t="s">
        <v>7</v>
      </c>
      <c r="N5" s="21" t="s">
        <v>7</v>
      </c>
      <c r="O5" s="21" t="s">
        <v>7</v>
      </c>
      <c r="P5" s="21" t="s">
        <v>7</v>
      </c>
    </row>
    <row r="6" spans="1:16" x14ac:dyDescent="0.2">
      <c r="A6" s="19" t="s">
        <v>29</v>
      </c>
      <c r="B6" s="19"/>
      <c r="C6" s="19"/>
      <c r="D6" s="19"/>
      <c r="E6" s="19"/>
      <c r="F6" s="204"/>
      <c r="G6" s="19"/>
      <c r="H6" s="19"/>
      <c r="I6" s="19"/>
      <c r="J6" s="23"/>
      <c r="K6" s="32"/>
      <c r="L6" s="30"/>
      <c r="M6" s="23"/>
      <c r="N6" s="332"/>
      <c r="O6" s="332"/>
      <c r="P6" s="332"/>
    </row>
    <row r="7" spans="1:16" ht="32.25" customHeight="1" x14ac:dyDescent="0.2">
      <c r="A7" s="49" t="s">
        <v>30</v>
      </c>
      <c r="B7" s="333">
        <v>20</v>
      </c>
      <c r="C7" s="333">
        <v>34</v>
      </c>
      <c r="D7" s="333">
        <v>17</v>
      </c>
      <c r="E7" s="334">
        <v>0.5</v>
      </c>
      <c r="F7" s="335">
        <v>28</v>
      </c>
      <c r="G7" s="333">
        <v>58</v>
      </c>
      <c r="H7" s="333">
        <v>31</v>
      </c>
      <c r="I7" s="334">
        <v>0.54</v>
      </c>
      <c r="J7" s="335">
        <v>26</v>
      </c>
      <c r="K7" s="310">
        <v>59</v>
      </c>
      <c r="L7" s="199">
        <v>34</v>
      </c>
      <c r="M7" s="311">
        <v>0.57599999999999996</v>
      </c>
      <c r="N7" s="86">
        <v>0.49</v>
      </c>
      <c r="O7" s="86">
        <v>0.43</v>
      </c>
      <c r="P7" s="86">
        <v>0.57999999999999996</v>
      </c>
    </row>
    <row r="8" spans="1:16" ht="48.75" customHeight="1" x14ac:dyDescent="0.2">
      <c r="A8" s="49" t="s">
        <v>31</v>
      </c>
      <c r="B8" s="336"/>
      <c r="C8" s="336"/>
      <c r="D8" s="336"/>
      <c r="E8" s="337"/>
      <c r="F8" s="338"/>
      <c r="G8" s="336"/>
      <c r="H8" s="336"/>
      <c r="I8" s="337"/>
      <c r="J8" s="339">
        <v>17</v>
      </c>
      <c r="K8" s="340">
        <v>39</v>
      </c>
      <c r="L8" s="341">
        <v>24</v>
      </c>
      <c r="M8" s="342">
        <v>0.61538461538461542</v>
      </c>
      <c r="N8" s="343">
        <v>0.27589999999999998</v>
      </c>
      <c r="O8" s="343">
        <v>0.38</v>
      </c>
      <c r="P8" s="343">
        <v>0.46</v>
      </c>
    </row>
    <row r="9" spans="1:16" x14ac:dyDescent="0.2">
      <c r="A9" s="19" t="s">
        <v>6</v>
      </c>
      <c r="B9" s="19"/>
      <c r="C9" s="19"/>
      <c r="D9" s="19"/>
      <c r="E9" s="19"/>
      <c r="F9" s="204"/>
      <c r="G9" s="19"/>
      <c r="H9" s="19"/>
      <c r="I9" s="19"/>
      <c r="J9" s="344">
        <v>43</v>
      </c>
      <c r="K9" s="345">
        <v>98</v>
      </c>
      <c r="L9" s="346">
        <v>58</v>
      </c>
      <c r="M9" s="84">
        <v>0.59183673469387754</v>
      </c>
      <c r="N9" s="85">
        <v>0.38</v>
      </c>
      <c r="O9" s="85">
        <v>0.41</v>
      </c>
      <c r="P9" s="85">
        <v>0.53</v>
      </c>
    </row>
    <row r="10" spans="1:16" x14ac:dyDescent="0.2">
      <c r="A10" s="20" t="s">
        <v>32</v>
      </c>
    </row>
    <row r="12" spans="1:16" x14ac:dyDescent="0.2">
      <c r="A12" s="20" t="s">
        <v>941</v>
      </c>
    </row>
    <row r="13" spans="1:16" x14ac:dyDescent="0.2">
      <c r="A13" s="195"/>
      <c r="B13" s="195"/>
      <c r="C13" s="195"/>
      <c r="D13" s="195"/>
      <c r="E13" s="195"/>
      <c r="F13" s="195"/>
      <c r="G13" s="195"/>
      <c r="H13" s="195"/>
      <c r="I13" s="195"/>
    </row>
  </sheetData>
  <mergeCells count="6">
    <mergeCell ref="C3:E3"/>
    <mergeCell ref="G3:I3"/>
    <mergeCell ref="K3:M3"/>
    <mergeCell ref="C4:E4"/>
    <mergeCell ref="G4:I4"/>
    <mergeCell ref="K4:M4"/>
  </mergeCells>
  <pageMargins left="0.78749999999999998" right="0.78749999999999998" top="1.0249999999999999" bottom="1.0249999999999999" header="0.78749999999999998" footer="0.78749999999999998"/>
  <pageSetup paperSize="9" firstPageNumber="0" orientation="portrait" verticalDpi="0" r:id="rId1"/>
  <headerFooter>
    <oddHeader>&amp;C&amp;"Arial,Normal"&amp;10&amp;A</oddHeader>
    <oddFooter>&amp;C&amp;"Arial,Normal"&amp;10Page &amp;P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zoomScaleNormal="100" workbookViewId="0">
      <selection activeCell="A4" sqref="A4:A12"/>
    </sheetView>
  </sheetViews>
  <sheetFormatPr baseColWidth="10" defaultColWidth="9.140625" defaultRowHeight="11.25" x14ac:dyDescent="0.2"/>
  <cols>
    <col min="1" max="1" width="9.140625" style="20"/>
    <col min="2" max="2" width="21.28515625" style="20" customWidth="1"/>
    <col min="3" max="3" width="13.28515625" style="20" customWidth="1"/>
    <col min="4" max="16384" width="9.140625" style="20"/>
  </cols>
  <sheetData>
    <row r="1" spans="1:4" x14ac:dyDescent="0.2">
      <c r="A1" s="19" t="s">
        <v>863</v>
      </c>
    </row>
    <row r="2" spans="1:4" x14ac:dyDescent="0.2">
      <c r="A2" s="19"/>
    </row>
    <row r="3" spans="1:4" s="49" customFormat="1" ht="45" x14ac:dyDescent="0.2">
      <c r="A3" s="583"/>
      <c r="B3" s="584" t="s">
        <v>829</v>
      </c>
      <c r="C3" s="585" t="s">
        <v>830</v>
      </c>
    </row>
    <row r="4" spans="1:4" x14ac:dyDescent="0.2">
      <c r="A4" s="584">
        <v>2009</v>
      </c>
      <c r="B4" s="489">
        <v>393</v>
      </c>
      <c r="C4" s="586">
        <v>0.29262086513994912</v>
      </c>
    </row>
    <row r="5" spans="1:4" x14ac:dyDescent="0.2">
      <c r="A5" s="584">
        <v>2010</v>
      </c>
      <c r="B5" s="489">
        <v>499</v>
      </c>
      <c r="C5" s="586">
        <v>0.28857715430861725</v>
      </c>
    </row>
    <row r="6" spans="1:4" x14ac:dyDescent="0.2">
      <c r="A6" s="584">
        <v>2011</v>
      </c>
      <c r="B6" s="489">
        <v>437</v>
      </c>
      <c r="C6" s="586">
        <v>0.29290617848970252</v>
      </c>
    </row>
    <row r="7" spans="1:4" x14ac:dyDescent="0.2">
      <c r="A7" s="584">
        <v>2012</v>
      </c>
      <c r="B7" s="489">
        <v>442</v>
      </c>
      <c r="C7" s="586">
        <v>0.29638009049773756</v>
      </c>
    </row>
    <row r="8" spans="1:4" x14ac:dyDescent="0.2">
      <c r="A8" s="584">
        <v>2013</v>
      </c>
      <c r="B8" s="485">
        <v>331</v>
      </c>
      <c r="C8" s="587">
        <v>0.3202416918429003</v>
      </c>
    </row>
    <row r="9" spans="1:4" x14ac:dyDescent="0.2">
      <c r="A9" s="584">
        <v>2014</v>
      </c>
      <c r="B9" s="485">
        <v>392</v>
      </c>
      <c r="C9" s="587">
        <v>0.33673469387755101</v>
      </c>
    </row>
    <row r="10" spans="1:4" x14ac:dyDescent="0.2">
      <c r="A10" s="584">
        <v>2015</v>
      </c>
      <c r="B10" s="485">
        <v>374</v>
      </c>
      <c r="C10" s="587">
        <v>0.37967914438502676</v>
      </c>
    </row>
    <row r="11" spans="1:4" x14ac:dyDescent="0.2">
      <c r="A11" s="584">
        <v>2016</v>
      </c>
      <c r="B11" s="485">
        <v>359</v>
      </c>
      <c r="C11" s="587">
        <v>0.32590529247910865</v>
      </c>
      <c r="D11" s="408"/>
    </row>
    <row r="12" spans="1:4" x14ac:dyDescent="0.2">
      <c r="A12" s="584">
        <v>2017</v>
      </c>
      <c r="B12" s="485">
        <v>327</v>
      </c>
      <c r="C12" s="587">
        <v>0.31804281345565749</v>
      </c>
      <c r="D12" s="408"/>
    </row>
    <row r="13" spans="1:4" x14ac:dyDescent="0.2">
      <c r="A13" s="20" t="s">
        <v>831</v>
      </c>
    </row>
    <row r="15" spans="1:4" x14ac:dyDescent="0.2">
      <c r="A15" s="20" t="s">
        <v>819</v>
      </c>
    </row>
    <row r="18" spans="1:1" x14ac:dyDescent="0.2">
      <c r="A18" s="195"/>
    </row>
  </sheetData>
  <pageMargins left="0.78749999999999998" right="0.78749999999999998" top="1.0249999999999999" bottom="1.0249999999999999" header="0.78749999999999998" footer="0.78749999999999998"/>
  <pageSetup paperSize="9" firstPageNumber="0" orientation="portrait" r:id="rId1"/>
  <headerFooter>
    <oddHeader>&amp;C&amp;"Arial,Normal"&amp;10&amp;A</oddHeader>
    <oddFooter>&amp;C&amp;"Arial,Normal"&amp;10Page &amp;P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election activeCell="A5" sqref="A5:A14"/>
    </sheetView>
  </sheetViews>
  <sheetFormatPr baseColWidth="10" defaultColWidth="9.140625" defaultRowHeight="11.25" x14ac:dyDescent="0.2"/>
  <cols>
    <col min="1" max="16384" width="9.140625" style="20"/>
  </cols>
  <sheetData>
    <row r="1" spans="1:6" x14ac:dyDescent="0.2">
      <c r="A1" s="19" t="s">
        <v>832</v>
      </c>
    </row>
    <row r="2" spans="1:6" x14ac:dyDescent="0.2">
      <c r="A2" s="19"/>
    </row>
    <row r="3" spans="1:6" ht="24.2" customHeight="1" x14ac:dyDescent="0.2">
      <c r="A3" s="756"/>
      <c r="B3" s="757" t="s">
        <v>833</v>
      </c>
      <c r="C3" s="750" t="s">
        <v>821</v>
      </c>
      <c r="D3" s="750"/>
      <c r="E3" s="750"/>
      <c r="F3" s="750"/>
    </row>
    <row r="4" spans="1:6" ht="24.2" customHeight="1" x14ac:dyDescent="0.2">
      <c r="A4" s="756"/>
      <c r="B4" s="757"/>
      <c r="C4" s="588" t="s">
        <v>4</v>
      </c>
      <c r="D4" s="588" t="s">
        <v>5</v>
      </c>
      <c r="E4" s="588" t="s">
        <v>371</v>
      </c>
      <c r="F4" s="589" t="s">
        <v>6</v>
      </c>
    </row>
    <row r="5" spans="1:6" x14ac:dyDescent="0.2">
      <c r="A5" s="673" t="s">
        <v>834</v>
      </c>
      <c r="B5" s="591">
        <v>240</v>
      </c>
      <c r="C5" s="592">
        <v>0.17899999999999999</v>
      </c>
      <c r="D5" s="592">
        <v>0.79200000000000004</v>
      </c>
      <c r="E5" s="592">
        <v>2.8999999999999998E-2</v>
      </c>
      <c r="F5" s="491">
        <v>1</v>
      </c>
    </row>
    <row r="6" spans="1:6" x14ac:dyDescent="0.2">
      <c r="A6" s="673" t="s">
        <v>835</v>
      </c>
      <c r="B6" s="591">
        <v>230</v>
      </c>
      <c r="C6" s="592">
        <v>0.191</v>
      </c>
      <c r="D6" s="592">
        <v>0.78700000000000003</v>
      </c>
      <c r="E6" s="592">
        <v>2.2000000000000002E-2</v>
      </c>
      <c r="F6" s="491">
        <v>1</v>
      </c>
    </row>
    <row r="7" spans="1:6" x14ac:dyDescent="0.2">
      <c r="A7" s="673" t="s">
        <v>836</v>
      </c>
      <c r="B7" s="591">
        <v>261</v>
      </c>
      <c r="C7" s="592">
        <v>0.184</v>
      </c>
      <c r="D7" s="592">
        <v>0.80099999999999993</v>
      </c>
      <c r="E7" s="592">
        <v>1.4999999999999999E-2</v>
      </c>
      <c r="F7" s="491">
        <v>1</v>
      </c>
    </row>
    <row r="8" spans="1:6" x14ac:dyDescent="0.2">
      <c r="A8" s="673" t="s">
        <v>837</v>
      </c>
      <c r="B8" s="591">
        <v>271</v>
      </c>
      <c r="C8" s="592">
        <v>0.20699999999999999</v>
      </c>
      <c r="D8" s="592">
        <v>0.76</v>
      </c>
      <c r="E8" s="592">
        <v>3.3000000000000002E-2</v>
      </c>
      <c r="F8" s="491">
        <v>1</v>
      </c>
    </row>
    <row r="9" spans="1:6" x14ac:dyDescent="0.2">
      <c r="A9" s="673" t="s">
        <v>838</v>
      </c>
      <c r="B9" s="591">
        <v>279</v>
      </c>
      <c r="C9" s="592">
        <v>0.21100000000000002</v>
      </c>
      <c r="D9" s="592">
        <v>0.75599999999999989</v>
      </c>
      <c r="E9" s="592">
        <v>3.2000000000000001E-2</v>
      </c>
      <c r="F9" s="491">
        <v>1</v>
      </c>
    </row>
    <row r="10" spans="1:6" x14ac:dyDescent="0.2">
      <c r="A10" s="673" t="s">
        <v>839</v>
      </c>
      <c r="B10" s="591">
        <v>269</v>
      </c>
      <c r="C10" s="592">
        <v>0.21199999999999999</v>
      </c>
      <c r="D10" s="592">
        <v>0.755</v>
      </c>
      <c r="E10" s="592">
        <v>3.3000000000000002E-2</v>
      </c>
      <c r="F10" s="491">
        <v>1</v>
      </c>
    </row>
    <row r="11" spans="1:6" x14ac:dyDescent="0.2">
      <c r="A11" s="673">
        <v>2014</v>
      </c>
      <c r="B11" s="590">
        <v>258</v>
      </c>
      <c r="C11" s="592">
        <v>0.20199999999999999</v>
      </c>
      <c r="D11" s="592">
        <v>0.77900000000000003</v>
      </c>
      <c r="E11" s="592">
        <v>1.9E-2</v>
      </c>
      <c r="F11" s="491">
        <v>1</v>
      </c>
    </row>
    <row r="12" spans="1:6" x14ac:dyDescent="0.2">
      <c r="A12" s="673">
        <v>2015</v>
      </c>
      <c r="B12" s="590">
        <v>300</v>
      </c>
      <c r="C12" s="592">
        <v>0.21</v>
      </c>
      <c r="D12" s="592">
        <v>0.77300000000000002</v>
      </c>
      <c r="E12" s="592">
        <v>1.7000000000000001E-2</v>
      </c>
      <c r="F12" s="491">
        <v>1</v>
      </c>
    </row>
    <row r="13" spans="1:6" x14ac:dyDescent="0.2">
      <c r="A13" s="673">
        <v>2016</v>
      </c>
      <c r="B13" s="590">
        <v>283</v>
      </c>
      <c r="C13" s="592">
        <v>0.20499999999999999</v>
      </c>
      <c r="D13" s="592">
        <v>0.76300000000000001</v>
      </c>
      <c r="E13" s="592">
        <v>3.2000000000000001E-2</v>
      </c>
      <c r="F13" s="491">
        <v>1</v>
      </c>
    </row>
    <row r="14" spans="1:6" x14ac:dyDescent="0.2">
      <c r="A14" s="584">
        <v>2017</v>
      </c>
      <c r="B14" s="485">
        <v>300</v>
      </c>
      <c r="C14" s="592">
        <v>0.23300000000000001</v>
      </c>
      <c r="D14" s="592">
        <v>0.73</v>
      </c>
      <c r="E14" s="592">
        <v>3.7000000000000005E-2</v>
      </c>
      <c r="F14" s="491">
        <v>1</v>
      </c>
    </row>
    <row r="15" spans="1:6" x14ac:dyDescent="0.2">
      <c r="A15" s="20" t="s">
        <v>840</v>
      </c>
    </row>
    <row r="16" spans="1:6" x14ac:dyDescent="0.2">
      <c r="A16" s="20" t="s">
        <v>831</v>
      </c>
    </row>
    <row r="18" spans="1:1" x14ac:dyDescent="0.2">
      <c r="A18" s="20" t="s">
        <v>819</v>
      </c>
    </row>
    <row r="20" spans="1:1" x14ac:dyDescent="0.2">
      <c r="A20" s="195"/>
    </row>
  </sheetData>
  <mergeCells count="3">
    <mergeCell ref="A3:A4"/>
    <mergeCell ref="B3:B4"/>
    <mergeCell ref="C3:F3"/>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E34" sqref="E34"/>
    </sheetView>
  </sheetViews>
  <sheetFormatPr baseColWidth="10" defaultRowHeight="11.25" x14ac:dyDescent="0.2"/>
  <cols>
    <col min="1" max="1" width="49.28515625" style="20" customWidth="1"/>
    <col min="2" max="7" width="11.42578125" style="20"/>
    <col min="8" max="8" width="42.85546875" style="20" customWidth="1"/>
    <col min="9" max="16384" width="11.42578125" style="20"/>
  </cols>
  <sheetData>
    <row r="1" spans="1:11" x14ac:dyDescent="0.2">
      <c r="A1" s="19" t="s">
        <v>755</v>
      </c>
      <c r="B1" s="19"/>
      <c r="C1" s="19"/>
      <c r="D1" s="19"/>
    </row>
    <row r="2" spans="1:11" x14ac:dyDescent="0.2">
      <c r="A2" s="19"/>
      <c r="B2" s="19"/>
      <c r="C2" s="19"/>
      <c r="D2" s="19"/>
    </row>
    <row r="3" spans="1:11" x14ac:dyDescent="0.2">
      <c r="B3" s="347">
        <v>2017</v>
      </c>
      <c r="C3" s="347"/>
      <c r="D3" s="347">
        <v>2016</v>
      </c>
      <c r="E3" s="19">
        <v>2000</v>
      </c>
    </row>
    <row r="4" spans="1:11" ht="45" x14ac:dyDescent="0.2">
      <c r="B4" s="121" t="s">
        <v>211</v>
      </c>
      <c r="C4" s="121" t="s">
        <v>7</v>
      </c>
      <c r="D4" s="121" t="s">
        <v>7</v>
      </c>
      <c r="E4" s="121" t="s">
        <v>7</v>
      </c>
    </row>
    <row r="5" spans="1:11" x14ac:dyDescent="0.2">
      <c r="A5" s="348" t="s">
        <v>212</v>
      </c>
      <c r="B5" s="349"/>
      <c r="C5" s="349"/>
      <c r="D5" s="349"/>
      <c r="E5" s="349"/>
      <c r="H5" s="350"/>
      <c r="I5" s="350"/>
    </row>
    <row r="6" spans="1:11" x14ac:dyDescent="0.2">
      <c r="A6" s="20" t="s">
        <v>213</v>
      </c>
      <c r="B6" s="20">
        <v>20242</v>
      </c>
      <c r="C6" s="351">
        <v>0.48419128544610218</v>
      </c>
      <c r="D6" s="298">
        <v>0.48124584559870898</v>
      </c>
      <c r="E6" s="298">
        <v>0.423312310207895</v>
      </c>
      <c r="G6" s="352"/>
      <c r="H6" s="352"/>
      <c r="I6" s="352"/>
      <c r="K6" s="220"/>
    </row>
    <row r="7" spans="1:11" x14ac:dyDescent="0.2">
      <c r="A7" s="20" t="s">
        <v>214</v>
      </c>
      <c r="B7" s="20">
        <v>5860</v>
      </c>
      <c r="C7" s="351">
        <v>0.43191126279863479</v>
      </c>
      <c r="D7" s="298">
        <v>0.41282668500687802</v>
      </c>
      <c r="E7" s="298">
        <v>0.30493394445942301</v>
      </c>
      <c r="G7" s="352"/>
      <c r="H7" s="352"/>
      <c r="I7" s="352"/>
      <c r="K7" s="220"/>
    </row>
    <row r="8" spans="1:11" x14ac:dyDescent="0.2">
      <c r="A8" s="20" t="s">
        <v>215</v>
      </c>
      <c r="B8" s="20">
        <v>3399</v>
      </c>
      <c r="C8" s="351">
        <v>0.44042365401588701</v>
      </c>
      <c r="D8" s="298">
        <v>0.430617726051925</v>
      </c>
      <c r="E8" s="298">
        <v>0.35320754716981101</v>
      </c>
      <c r="G8" s="352"/>
      <c r="H8" s="352"/>
      <c r="I8" s="352"/>
      <c r="K8" s="220"/>
    </row>
    <row r="9" spans="1:11" x14ac:dyDescent="0.2">
      <c r="A9" s="20" t="s">
        <v>216</v>
      </c>
      <c r="B9" s="20">
        <v>3177</v>
      </c>
      <c r="C9" s="351">
        <v>0.42996537614101354</v>
      </c>
      <c r="D9" s="298">
        <v>0.44029170464904299</v>
      </c>
      <c r="E9" s="298">
        <v>0.34597924773021999</v>
      </c>
      <c r="G9" s="352"/>
      <c r="H9" s="352"/>
      <c r="I9" s="352"/>
      <c r="K9" s="220"/>
    </row>
    <row r="10" spans="1:11" x14ac:dyDescent="0.2">
      <c r="A10" s="20" t="s">
        <v>217</v>
      </c>
      <c r="B10" s="20">
        <v>2388</v>
      </c>
      <c r="C10" s="351">
        <v>0.52428810720268004</v>
      </c>
      <c r="D10" s="298">
        <v>0.52931529315293202</v>
      </c>
      <c r="E10" s="298">
        <v>0.46484375</v>
      </c>
      <c r="G10" s="352"/>
      <c r="H10" s="352"/>
      <c r="I10" s="352"/>
      <c r="K10" s="220"/>
    </row>
    <row r="11" spans="1:11" x14ac:dyDescent="0.2">
      <c r="A11" s="348" t="s">
        <v>218</v>
      </c>
      <c r="B11" s="348"/>
      <c r="C11" s="353"/>
      <c r="D11" s="354"/>
      <c r="E11" s="354"/>
      <c r="H11" s="352"/>
      <c r="I11" s="352"/>
      <c r="K11" s="220"/>
    </row>
    <row r="12" spans="1:11" x14ac:dyDescent="0.2">
      <c r="A12" s="49" t="s">
        <v>219</v>
      </c>
      <c r="B12" s="20">
        <v>18420</v>
      </c>
      <c r="C12" s="351">
        <v>0.49212812160694897</v>
      </c>
      <c r="D12" s="298">
        <v>0.48850204169353101</v>
      </c>
      <c r="E12" s="298">
        <v>0.43808816245666199</v>
      </c>
      <c r="H12" s="352"/>
      <c r="I12" s="352"/>
      <c r="K12" s="220"/>
    </row>
    <row r="13" spans="1:11" x14ac:dyDescent="0.2">
      <c r="A13" s="49" t="s">
        <v>220</v>
      </c>
      <c r="B13" s="20">
        <v>4456</v>
      </c>
      <c r="C13" s="351">
        <v>0.38016157989228005</v>
      </c>
      <c r="D13" s="298">
        <v>0.36756280299691502</v>
      </c>
      <c r="E13" s="298">
        <v>0.27652901202300001</v>
      </c>
      <c r="H13" s="352"/>
      <c r="I13" s="352"/>
      <c r="K13" s="220"/>
    </row>
    <row r="14" spans="1:11" x14ac:dyDescent="0.2">
      <c r="A14" s="49" t="s">
        <v>221</v>
      </c>
      <c r="B14" s="20">
        <v>3255</v>
      </c>
      <c r="C14" s="351">
        <v>0.45192012288786482</v>
      </c>
      <c r="D14" s="298">
        <v>0.44508147254073599</v>
      </c>
      <c r="E14" s="298">
        <v>0.33541513592946398</v>
      </c>
      <c r="H14" s="352"/>
      <c r="I14" s="352"/>
      <c r="K14" s="220"/>
    </row>
    <row r="15" spans="1:11" x14ac:dyDescent="0.2">
      <c r="A15" s="49" t="s">
        <v>222</v>
      </c>
      <c r="B15" s="20">
        <v>2915</v>
      </c>
      <c r="C15" s="351">
        <v>0.63533447684391076</v>
      </c>
      <c r="D15" s="298">
        <v>0.64427383237364</v>
      </c>
      <c r="E15" s="298">
        <v>0.59499702203692695</v>
      </c>
      <c r="H15" s="352"/>
      <c r="I15" s="352"/>
      <c r="K15" s="220"/>
    </row>
    <row r="16" spans="1:11" x14ac:dyDescent="0.2">
      <c r="A16" s="49" t="s">
        <v>223</v>
      </c>
      <c r="B16" s="20">
        <v>1385</v>
      </c>
      <c r="C16" s="351">
        <v>0.46642599277978342</v>
      </c>
      <c r="D16" s="298">
        <v>0.46848739495798303</v>
      </c>
      <c r="E16" s="298">
        <v>0.402877697841727</v>
      </c>
      <c r="H16" s="352"/>
      <c r="I16" s="352"/>
      <c r="K16" s="220"/>
    </row>
    <row r="17" spans="1:11" x14ac:dyDescent="0.2">
      <c r="A17" s="49" t="s">
        <v>224</v>
      </c>
      <c r="B17" s="20">
        <v>1131</v>
      </c>
      <c r="C17" s="351">
        <v>0.53669319186560571</v>
      </c>
      <c r="D17" s="298">
        <v>0.54487688641779197</v>
      </c>
      <c r="E17" s="298">
        <v>0.51751487111698602</v>
      </c>
      <c r="H17" s="352"/>
      <c r="I17" s="352"/>
      <c r="K17" s="220"/>
    </row>
    <row r="18" spans="1:11" x14ac:dyDescent="0.2">
      <c r="A18" s="49" t="s">
        <v>225</v>
      </c>
      <c r="B18" s="20">
        <v>1021</v>
      </c>
      <c r="C18" s="351">
        <v>0.21939275220372184</v>
      </c>
      <c r="D18" s="298">
        <v>0.20858895705521499</v>
      </c>
      <c r="E18" s="298">
        <v>0.125243348475016</v>
      </c>
      <c r="H18" s="352"/>
      <c r="I18" s="352"/>
      <c r="K18" s="220"/>
    </row>
    <row r="19" spans="1:11" x14ac:dyDescent="0.2">
      <c r="A19" s="49" t="s">
        <v>226</v>
      </c>
      <c r="B19" s="20">
        <v>1041</v>
      </c>
      <c r="C19" s="351">
        <v>0.25936599423631124</v>
      </c>
      <c r="D19" s="298">
        <v>0.26125330979699901</v>
      </c>
      <c r="E19" s="298">
        <v>0.18014329580348001</v>
      </c>
      <c r="H19" s="352"/>
      <c r="I19" s="352"/>
      <c r="K19" s="220"/>
    </row>
    <row r="20" spans="1:11" x14ac:dyDescent="0.2">
      <c r="A20" s="49" t="s">
        <v>227</v>
      </c>
      <c r="B20" s="20">
        <v>911</v>
      </c>
      <c r="C20" s="351">
        <v>0.36443468715697036</v>
      </c>
      <c r="D20" s="298">
        <v>0.34773218142548601</v>
      </c>
      <c r="E20" s="298">
        <v>0.16971544715447201</v>
      </c>
      <c r="H20" s="352"/>
      <c r="I20" s="352"/>
      <c r="K20" s="220"/>
    </row>
    <row r="21" spans="1:11" x14ac:dyDescent="0.2">
      <c r="A21" s="49" t="s">
        <v>228</v>
      </c>
      <c r="B21" s="20">
        <v>65</v>
      </c>
      <c r="C21" s="351">
        <v>0.58461538461538465</v>
      </c>
      <c r="D21" s="298">
        <v>0.48214285714285698</v>
      </c>
      <c r="E21" s="298">
        <v>0.53333333333333299</v>
      </c>
    </row>
    <row r="22" spans="1:11" x14ac:dyDescent="0.2">
      <c r="A22" s="49" t="s">
        <v>217</v>
      </c>
      <c r="B22" s="20">
        <v>398</v>
      </c>
      <c r="C22" s="351">
        <v>0.52261306532663321</v>
      </c>
      <c r="D22" s="298">
        <v>0.54694835680751197</v>
      </c>
      <c r="E22" s="298">
        <v>0.44957264957264997</v>
      </c>
      <c r="K22" s="220"/>
    </row>
    <row r="23" spans="1:11" x14ac:dyDescent="0.2">
      <c r="A23" s="348" t="s">
        <v>229</v>
      </c>
      <c r="B23" s="348"/>
      <c r="C23" s="353"/>
      <c r="D23" s="354"/>
      <c r="E23" s="354"/>
    </row>
    <row r="24" spans="1:11" x14ac:dyDescent="0.2">
      <c r="A24" s="49" t="s">
        <v>230</v>
      </c>
      <c r="B24" s="352">
        <v>1095</v>
      </c>
      <c r="C24" s="355">
        <v>0.53881278538812782</v>
      </c>
      <c r="D24" s="356">
        <v>0.5186274509803922</v>
      </c>
      <c r="E24" s="356">
        <v>0.51210428305400368</v>
      </c>
      <c r="K24" s="220"/>
    </row>
    <row r="25" spans="1:11" x14ac:dyDescent="0.2">
      <c r="A25" s="49" t="s">
        <v>231</v>
      </c>
      <c r="B25" s="352">
        <v>8113</v>
      </c>
      <c r="C25" s="355">
        <v>0.5387649451497597</v>
      </c>
      <c r="D25" s="356">
        <v>0.53989813242784379</v>
      </c>
      <c r="E25" s="356">
        <v>0.46863260706235915</v>
      </c>
    </row>
    <row r="26" spans="1:11" x14ac:dyDescent="0.2">
      <c r="A26" s="49" t="s">
        <v>232</v>
      </c>
      <c r="B26" s="352">
        <v>9613</v>
      </c>
      <c r="C26" s="355">
        <v>0.48434411734110061</v>
      </c>
      <c r="D26" s="356">
        <v>0.48649733962453567</v>
      </c>
      <c r="E26" s="356">
        <v>0.39928818776452479</v>
      </c>
      <c r="K26" s="220"/>
    </row>
    <row r="27" spans="1:11" x14ac:dyDescent="0.2">
      <c r="A27" s="49" t="s">
        <v>233</v>
      </c>
      <c r="B27" s="352">
        <v>9848</v>
      </c>
      <c r="C27" s="355">
        <v>0.44222177091795289</v>
      </c>
      <c r="D27" s="356">
        <v>0.43936159398190505</v>
      </c>
      <c r="E27" s="356">
        <v>0.32749645054424986</v>
      </c>
    </row>
    <row r="28" spans="1:11" x14ac:dyDescent="0.2">
      <c r="A28" s="49" t="s">
        <v>234</v>
      </c>
      <c r="B28" s="352">
        <v>5666</v>
      </c>
      <c r="C28" s="355">
        <v>0.39322273208612779</v>
      </c>
      <c r="D28" s="356">
        <v>0.37896070975918883</v>
      </c>
      <c r="E28" s="356">
        <v>0.30919446704637915</v>
      </c>
      <c r="K28" s="220"/>
    </row>
    <row r="29" spans="1:11" x14ac:dyDescent="0.2">
      <c r="A29" s="49" t="s">
        <v>235</v>
      </c>
      <c r="B29" s="352">
        <v>731</v>
      </c>
      <c r="C29" s="355">
        <v>0.33789329685362518</v>
      </c>
      <c r="D29" s="356">
        <v>0.34184397163120567</v>
      </c>
      <c r="E29" s="356">
        <v>0.36885245901639346</v>
      </c>
      <c r="H29" s="352"/>
      <c r="I29" s="352"/>
      <c r="K29" s="220"/>
    </row>
    <row r="30" spans="1:11" x14ac:dyDescent="0.2">
      <c r="A30" s="357" t="s">
        <v>6</v>
      </c>
      <c r="B30" s="357">
        <v>35066</v>
      </c>
      <c r="C30" s="358">
        <v>0.47</v>
      </c>
      <c r="D30" s="358">
        <v>0.47</v>
      </c>
      <c r="E30" s="358">
        <v>0.40015685328185302</v>
      </c>
    </row>
    <row r="32" spans="1:11" x14ac:dyDescent="0.2">
      <c r="A32" s="359" t="s">
        <v>942</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17"/>
  <sheetViews>
    <sheetView zoomScaleNormal="100" workbookViewId="0">
      <selection activeCell="B26" sqref="B26"/>
    </sheetView>
  </sheetViews>
  <sheetFormatPr baseColWidth="10" defaultColWidth="9.140625" defaultRowHeight="11.25" x14ac:dyDescent="0.2"/>
  <cols>
    <col min="1" max="1" width="32.7109375" style="20" customWidth="1"/>
    <col min="2" max="2" width="36.5703125" style="20" customWidth="1"/>
    <col min="3" max="3" width="9.140625" style="20"/>
    <col min="4" max="4" width="15.85546875" style="20" bestFit="1" customWidth="1"/>
    <col min="5" max="5" width="20.140625" style="20" customWidth="1"/>
    <col min="6" max="16384" width="9.140625" style="20"/>
  </cols>
  <sheetData>
    <row r="1" spans="1:5" x14ac:dyDescent="0.2">
      <c r="A1" s="19" t="s">
        <v>756</v>
      </c>
    </row>
    <row r="2" spans="1:5" x14ac:dyDescent="0.2">
      <c r="A2" s="19"/>
    </row>
    <row r="3" spans="1:5" ht="22.5" x14ac:dyDescent="0.2">
      <c r="A3" s="99" t="s">
        <v>757</v>
      </c>
      <c r="B3" s="498" t="s">
        <v>758</v>
      </c>
      <c r="C3" s="499" t="s">
        <v>759</v>
      </c>
      <c r="D3" s="499" t="s">
        <v>7</v>
      </c>
      <c r="E3" s="102" t="s">
        <v>760</v>
      </c>
    </row>
    <row r="4" spans="1:5" x14ac:dyDescent="0.2">
      <c r="A4" s="593" t="s">
        <v>71</v>
      </c>
      <c r="B4" s="594" t="s">
        <v>761</v>
      </c>
      <c r="C4" s="595"/>
      <c r="D4" s="596">
        <v>0.42</v>
      </c>
      <c r="E4" s="597">
        <v>0.41</v>
      </c>
    </row>
    <row r="5" spans="1:5" x14ac:dyDescent="0.2">
      <c r="A5" s="598" t="s">
        <v>71</v>
      </c>
      <c r="B5" s="96" t="s">
        <v>762</v>
      </c>
      <c r="C5" s="599"/>
      <c r="D5" s="600">
        <v>0.32</v>
      </c>
      <c r="E5" s="601">
        <v>0.33600000000000002</v>
      </c>
    </row>
    <row r="6" spans="1:5" x14ac:dyDescent="0.2">
      <c r="A6" s="593" t="s">
        <v>763</v>
      </c>
      <c r="B6" s="594" t="s">
        <v>764</v>
      </c>
      <c r="C6" s="595"/>
      <c r="D6" s="596"/>
      <c r="E6" s="76">
        <v>0.4</v>
      </c>
    </row>
    <row r="7" spans="1:5" x14ac:dyDescent="0.2">
      <c r="A7" s="332" t="s">
        <v>763</v>
      </c>
      <c r="B7" s="602" t="s">
        <v>765</v>
      </c>
      <c r="C7" s="603"/>
      <c r="D7" s="604">
        <v>0.39</v>
      </c>
      <c r="E7" s="84">
        <v>0.4</v>
      </c>
    </row>
    <row r="8" spans="1:5" x14ac:dyDescent="0.2">
      <c r="A8" s="332" t="s">
        <v>763</v>
      </c>
      <c r="B8" s="602" t="s">
        <v>766</v>
      </c>
      <c r="C8" s="603"/>
      <c r="D8" s="604">
        <v>0.24</v>
      </c>
      <c r="E8" s="84">
        <v>0.32</v>
      </c>
    </row>
    <row r="9" spans="1:5" x14ac:dyDescent="0.2">
      <c r="A9" s="332" t="s">
        <v>763</v>
      </c>
      <c r="B9" s="602" t="s">
        <v>767</v>
      </c>
      <c r="C9" s="603"/>
      <c r="D9" s="604">
        <v>0.37</v>
      </c>
      <c r="E9" s="84">
        <v>0.23</v>
      </c>
    </row>
    <row r="10" spans="1:5" x14ac:dyDescent="0.2">
      <c r="A10" s="605" t="s">
        <v>73</v>
      </c>
      <c r="B10" s="606" t="s">
        <v>768</v>
      </c>
      <c r="C10" s="607"/>
      <c r="D10" s="608">
        <v>0.36</v>
      </c>
      <c r="E10" s="609">
        <v>0.33</v>
      </c>
    </row>
    <row r="11" spans="1:5" ht="18" customHeight="1" x14ac:dyDescent="0.2">
      <c r="A11" s="758" t="s">
        <v>769</v>
      </c>
      <c r="B11" s="758"/>
      <c r="C11" s="758"/>
      <c r="D11" s="758"/>
      <c r="E11" s="758"/>
    </row>
    <row r="12" spans="1:5" x14ac:dyDescent="0.2">
      <c r="A12" s="20" t="s">
        <v>770</v>
      </c>
    </row>
    <row r="13" spans="1:5" ht="89.25" customHeight="1" x14ac:dyDescent="0.2">
      <c r="A13" s="717" t="s">
        <v>771</v>
      </c>
      <c r="B13" s="717"/>
      <c r="C13" s="717"/>
      <c r="D13" s="717"/>
      <c r="E13" s="717"/>
    </row>
    <row r="14" spans="1:5" ht="9" customHeight="1" x14ac:dyDescent="0.2">
      <c r="A14" s="641"/>
      <c r="B14" s="641"/>
      <c r="C14" s="641"/>
      <c r="D14" s="641"/>
      <c r="E14" s="641"/>
    </row>
    <row r="15" spans="1:5" x14ac:dyDescent="0.2">
      <c r="A15" s="20" t="s">
        <v>943</v>
      </c>
    </row>
    <row r="17" spans="1:1" x14ac:dyDescent="0.2">
      <c r="A17" s="195"/>
    </row>
  </sheetData>
  <mergeCells count="2">
    <mergeCell ref="A11:E11"/>
    <mergeCell ref="A13:E13"/>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Normal="100" workbookViewId="0">
      <selection activeCell="A5" sqref="A5:A14"/>
    </sheetView>
  </sheetViews>
  <sheetFormatPr baseColWidth="10" defaultColWidth="9.140625" defaultRowHeight="11.25" x14ac:dyDescent="0.2"/>
  <cols>
    <col min="1" max="4" width="9.140625" style="20"/>
    <col min="5" max="5" width="10" style="20" bestFit="1" customWidth="1"/>
    <col min="6" max="10" width="9.140625" style="20"/>
    <col min="11" max="14" width="9.140625" style="360"/>
    <col min="15" max="16384" width="9.140625" style="20"/>
  </cols>
  <sheetData>
    <row r="1" spans="1:14" x14ac:dyDescent="0.2">
      <c r="A1" s="19" t="s">
        <v>367</v>
      </c>
    </row>
    <row r="2" spans="1:14" x14ac:dyDescent="0.2">
      <c r="A2" s="19"/>
    </row>
    <row r="3" spans="1:14" x14ac:dyDescent="0.2">
      <c r="A3" s="361"/>
      <c r="B3" s="715" t="s">
        <v>368</v>
      </c>
      <c r="C3" s="715"/>
      <c r="D3" s="715"/>
      <c r="E3" s="715"/>
      <c r="F3" s="716"/>
      <c r="G3" s="714" t="s">
        <v>369</v>
      </c>
      <c r="H3" s="715"/>
      <c r="I3" s="715"/>
      <c r="J3" s="716"/>
      <c r="K3" s="759" t="s">
        <v>370</v>
      </c>
      <c r="L3" s="759"/>
      <c r="M3" s="759"/>
      <c r="N3" s="759"/>
    </row>
    <row r="4" spans="1:14" ht="22.5" x14ac:dyDescent="0.2">
      <c r="A4" s="362"/>
      <c r="B4" s="362" t="s">
        <v>4</v>
      </c>
      <c r="C4" s="362" t="s">
        <v>5</v>
      </c>
      <c r="D4" s="362" t="s">
        <v>371</v>
      </c>
      <c r="E4" s="362" t="s">
        <v>6</v>
      </c>
      <c r="F4" s="369" t="s">
        <v>7</v>
      </c>
      <c r="G4" s="371" t="s">
        <v>4</v>
      </c>
      <c r="H4" s="362" t="s">
        <v>5</v>
      </c>
      <c r="I4" s="362" t="s">
        <v>371</v>
      </c>
      <c r="J4" s="369" t="s">
        <v>6</v>
      </c>
      <c r="K4" s="363" t="s">
        <v>4</v>
      </c>
      <c r="L4" s="363" t="s">
        <v>5</v>
      </c>
      <c r="M4" s="363" t="s">
        <v>371</v>
      </c>
      <c r="N4" s="363" t="s">
        <v>6</v>
      </c>
    </row>
    <row r="5" spans="1:14" x14ac:dyDescent="0.2">
      <c r="A5" s="674">
        <v>2008</v>
      </c>
      <c r="B5" s="364">
        <v>41</v>
      </c>
      <c r="C5" s="364">
        <v>177</v>
      </c>
      <c r="D5" s="364">
        <v>7</v>
      </c>
      <c r="E5" s="361">
        <f>B5+C5+D5</f>
        <v>225</v>
      </c>
      <c r="F5" s="370">
        <f>B5/E5</f>
        <v>0.18222222222222223</v>
      </c>
      <c r="G5" s="372">
        <v>285000</v>
      </c>
      <c r="H5" s="365">
        <v>385000</v>
      </c>
      <c r="I5" s="365">
        <v>199000</v>
      </c>
      <c r="J5" s="373">
        <v>361000</v>
      </c>
      <c r="K5" s="366">
        <v>8.1</v>
      </c>
      <c r="L5" s="366">
        <v>5.2176713914067534</v>
      </c>
      <c r="M5" s="366">
        <v>8.1194145966625477</v>
      </c>
      <c r="N5" s="366">
        <v>5.6</v>
      </c>
    </row>
    <row r="6" spans="1:14" x14ac:dyDescent="0.2">
      <c r="A6" s="674">
        <v>2009</v>
      </c>
      <c r="B6" s="364">
        <v>42</v>
      </c>
      <c r="C6" s="364">
        <v>170</v>
      </c>
      <c r="D6" s="364">
        <v>5</v>
      </c>
      <c r="E6" s="361">
        <f>B6+C6+D6</f>
        <v>217</v>
      </c>
      <c r="F6" s="370">
        <f>B6/E6</f>
        <v>0.19354838709677419</v>
      </c>
      <c r="G6" s="374">
        <v>206000</v>
      </c>
      <c r="H6" s="365">
        <v>292000</v>
      </c>
      <c r="I6" s="367">
        <v>329000</v>
      </c>
      <c r="J6" s="373">
        <v>276000</v>
      </c>
      <c r="K6" s="368">
        <v>5.5</v>
      </c>
      <c r="L6" s="366">
        <v>5.5591292033028994</v>
      </c>
      <c r="M6" s="368">
        <v>7.2643388726359195</v>
      </c>
      <c r="N6" s="366">
        <v>5.5772985616858746</v>
      </c>
    </row>
    <row r="7" spans="1:14" x14ac:dyDescent="0.2">
      <c r="A7" s="674">
        <v>2010</v>
      </c>
      <c r="B7" s="364">
        <v>47</v>
      </c>
      <c r="C7" s="364">
        <v>195</v>
      </c>
      <c r="D7" s="364">
        <v>4</v>
      </c>
      <c r="E7" s="361">
        <f t="shared" ref="E7:E14" si="0">B7+C7+D7</f>
        <v>246</v>
      </c>
      <c r="F7" s="370">
        <f t="shared" ref="F7:F14" si="1">B7/E7</f>
        <v>0.1910569105691057</v>
      </c>
      <c r="G7" s="374">
        <v>206000</v>
      </c>
      <c r="H7" s="365">
        <v>390000</v>
      </c>
      <c r="I7" s="367">
        <v>106000</v>
      </c>
      <c r="J7" s="373">
        <v>350000</v>
      </c>
      <c r="K7" s="368">
        <v>5.7</v>
      </c>
      <c r="L7" s="366">
        <v>6.1867083619693908</v>
      </c>
      <c r="M7" s="368">
        <v>1.8289727037076466</v>
      </c>
      <c r="N7" s="366">
        <v>6.1</v>
      </c>
    </row>
    <row r="8" spans="1:14" x14ac:dyDescent="0.2">
      <c r="A8" s="674">
        <v>2011</v>
      </c>
      <c r="B8" s="364">
        <v>55</v>
      </c>
      <c r="C8" s="364">
        <v>194</v>
      </c>
      <c r="D8" s="364">
        <v>6</v>
      </c>
      <c r="E8" s="361">
        <f t="shared" si="0"/>
        <v>255</v>
      </c>
      <c r="F8" s="370">
        <f t="shared" si="1"/>
        <v>0.21568627450980393</v>
      </c>
      <c r="G8" s="374">
        <v>157000</v>
      </c>
      <c r="H8" s="365">
        <v>407000</v>
      </c>
      <c r="I8" s="367">
        <v>497000</v>
      </c>
      <c r="J8" s="373">
        <v>355000</v>
      </c>
      <c r="K8" s="368">
        <v>4.5999999999999996</v>
      </c>
      <c r="L8" s="366">
        <v>6.8858568441088162</v>
      </c>
      <c r="M8" s="368">
        <v>9.8218352174644838</v>
      </c>
      <c r="N8" s="366">
        <v>6.6395282585830984</v>
      </c>
    </row>
    <row r="9" spans="1:14" x14ac:dyDescent="0.2">
      <c r="A9" s="674">
        <v>2012</v>
      </c>
      <c r="B9" s="364">
        <v>53</v>
      </c>
      <c r="C9" s="364">
        <v>198</v>
      </c>
      <c r="D9" s="364">
        <v>9</v>
      </c>
      <c r="E9" s="361">
        <f t="shared" si="0"/>
        <v>260</v>
      </c>
      <c r="F9" s="370">
        <f t="shared" si="1"/>
        <v>0.20384615384615384</v>
      </c>
      <c r="G9" s="374">
        <v>135000</v>
      </c>
      <c r="H9" s="365">
        <v>289000</v>
      </c>
      <c r="I9" s="367">
        <v>177000</v>
      </c>
      <c r="J9" s="373">
        <v>254000</v>
      </c>
      <c r="K9" s="368">
        <v>3.8</v>
      </c>
      <c r="L9" s="366">
        <v>5.1712387218673008</v>
      </c>
      <c r="M9" s="368">
        <v>7.3805824834170757</v>
      </c>
      <c r="N9" s="366">
        <v>5.0137024232495975</v>
      </c>
    </row>
    <row r="10" spans="1:14" x14ac:dyDescent="0.2">
      <c r="A10" s="674">
        <v>2013</v>
      </c>
      <c r="B10" s="364">
        <v>52</v>
      </c>
      <c r="C10" s="364">
        <v>188</v>
      </c>
      <c r="D10" s="364">
        <v>9</v>
      </c>
      <c r="E10" s="361">
        <f t="shared" si="0"/>
        <v>249</v>
      </c>
      <c r="F10" s="370">
        <f t="shared" si="1"/>
        <v>0.20883534136546184</v>
      </c>
      <c r="G10" s="374">
        <v>151000</v>
      </c>
      <c r="H10" s="365">
        <v>374000</v>
      </c>
      <c r="I10" s="367">
        <v>91000</v>
      </c>
      <c r="J10" s="373">
        <v>317000</v>
      </c>
      <c r="K10" s="368">
        <v>4.7</v>
      </c>
      <c r="L10" s="366">
        <v>6.7933096708416514</v>
      </c>
      <c r="M10" s="368">
        <v>4.7922596652120371</v>
      </c>
      <c r="N10" s="366">
        <v>6.4855978708303024</v>
      </c>
    </row>
    <row r="11" spans="1:14" x14ac:dyDescent="0.2">
      <c r="A11" s="674">
        <v>2014</v>
      </c>
      <c r="B11" s="364">
        <v>45</v>
      </c>
      <c r="C11" s="364">
        <v>182</v>
      </c>
      <c r="D11" s="364">
        <v>4</v>
      </c>
      <c r="E11" s="361">
        <f t="shared" si="0"/>
        <v>231</v>
      </c>
      <c r="F11" s="370">
        <f t="shared" si="1"/>
        <v>0.19480519480519481</v>
      </c>
      <c r="G11" s="374">
        <v>177000</v>
      </c>
      <c r="H11" s="365">
        <v>272000</v>
      </c>
      <c r="I11" s="367">
        <v>13000</v>
      </c>
      <c r="J11" s="373">
        <v>249000</v>
      </c>
      <c r="K11" s="368">
        <v>6.2</v>
      </c>
      <c r="L11" s="366">
        <v>6.1</v>
      </c>
      <c r="M11" s="368">
        <v>8.1999999999999993</v>
      </c>
      <c r="N11" s="366">
        <v>6.1</v>
      </c>
    </row>
    <row r="12" spans="1:14" x14ac:dyDescent="0.2">
      <c r="A12" s="674">
        <v>2015</v>
      </c>
      <c r="B12" s="364">
        <v>55</v>
      </c>
      <c r="C12" s="364">
        <v>191</v>
      </c>
      <c r="D12" s="364">
        <v>4</v>
      </c>
      <c r="E12" s="361">
        <f t="shared" si="0"/>
        <v>250</v>
      </c>
      <c r="F12" s="370">
        <f t="shared" si="1"/>
        <v>0.22</v>
      </c>
      <c r="G12" s="374">
        <v>187000</v>
      </c>
      <c r="H12" s="365">
        <v>334000</v>
      </c>
      <c r="I12" s="367">
        <v>336000</v>
      </c>
      <c r="J12" s="373">
        <v>301000</v>
      </c>
      <c r="K12" s="368">
        <v>5.4</v>
      </c>
      <c r="L12" s="366">
        <v>6.8</v>
      </c>
      <c r="M12" s="368">
        <v>17.5</v>
      </c>
      <c r="N12" s="366">
        <v>6.7</v>
      </c>
    </row>
    <row r="13" spans="1:14" x14ac:dyDescent="0.2">
      <c r="A13" s="674">
        <v>2016</v>
      </c>
      <c r="B13" s="364">
        <v>37</v>
      </c>
      <c r="C13" s="364">
        <v>141</v>
      </c>
      <c r="D13" s="364">
        <v>7</v>
      </c>
      <c r="E13" s="361">
        <f t="shared" si="0"/>
        <v>185</v>
      </c>
      <c r="F13" s="370">
        <f t="shared" si="1"/>
        <v>0.2</v>
      </c>
      <c r="G13" s="374">
        <v>145000</v>
      </c>
      <c r="H13" s="365">
        <v>381000</v>
      </c>
      <c r="I13" s="367">
        <v>156000</v>
      </c>
      <c r="J13" s="373">
        <v>326000</v>
      </c>
      <c r="K13" s="368">
        <v>4.4000000000000004</v>
      </c>
      <c r="L13" s="366">
        <v>5.5</v>
      </c>
      <c r="M13" s="368">
        <v>7.7</v>
      </c>
      <c r="N13" s="366">
        <v>5.4</v>
      </c>
    </row>
    <row r="14" spans="1:14" x14ac:dyDescent="0.2">
      <c r="A14" s="674" t="s">
        <v>372</v>
      </c>
      <c r="B14" s="364">
        <v>10</v>
      </c>
      <c r="C14" s="364">
        <v>40</v>
      </c>
      <c r="D14" s="364">
        <v>1</v>
      </c>
      <c r="E14" s="361">
        <f t="shared" si="0"/>
        <v>51</v>
      </c>
      <c r="F14" s="370">
        <f t="shared" si="1"/>
        <v>0.19607843137254902</v>
      </c>
      <c r="G14" s="374">
        <v>149000</v>
      </c>
      <c r="H14" s="365">
        <v>360000</v>
      </c>
      <c r="I14" s="367">
        <v>3000</v>
      </c>
      <c r="J14" s="373">
        <v>312000</v>
      </c>
      <c r="K14" s="368">
        <v>4.5</v>
      </c>
      <c r="L14" s="366">
        <v>6.2</v>
      </c>
      <c r="M14" s="368">
        <v>1.5</v>
      </c>
      <c r="N14" s="366">
        <v>5.9</v>
      </c>
    </row>
    <row r="15" spans="1:14" x14ac:dyDescent="0.2">
      <c r="A15" s="359" t="s">
        <v>373</v>
      </c>
    </row>
    <row r="16" spans="1:14" x14ac:dyDescent="0.2">
      <c r="A16" s="20" t="s">
        <v>374</v>
      </c>
    </row>
    <row r="17" spans="1:1" x14ac:dyDescent="0.2">
      <c r="A17" s="20" t="s">
        <v>375</v>
      </c>
    </row>
    <row r="18" spans="1:1" x14ac:dyDescent="0.2">
      <c r="A18" s="20" t="s">
        <v>376</v>
      </c>
    </row>
    <row r="20" spans="1:1" x14ac:dyDescent="0.2">
      <c r="A20" s="20" t="s">
        <v>377</v>
      </c>
    </row>
  </sheetData>
  <mergeCells count="3">
    <mergeCell ref="B3:F3"/>
    <mergeCell ref="G3:J3"/>
    <mergeCell ref="K3:N3"/>
  </mergeCells>
  <pageMargins left="0.78749999999999998" right="0.78749999999999998" top="1.0249999999999999" bottom="1.0249999999999999" header="0.78749999999999998" footer="0.78749999999999998"/>
  <pageSetup paperSize="9" firstPageNumber="0" orientation="portrait" r:id="rId1"/>
  <headerFooter>
    <oddHeader>&amp;C&amp;"Arial,Normal"&amp;10&amp;A</oddHeader>
    <oddFooter>&amp;C&amp;"Arial,Normal"&amp;10Page &amp;P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108" zoomScaleNormal="108" workbookViewId="0">
      <selection activeCell="A31" sqref="A31"/>
    </sheetView>
  </sheetViews>
  <sheetFormatPr baseColWidth="10" defaultColWidth="9.140625" defaultRowHeight="11.25" x14ac:dyDescent="0.2"/>
  <cols>
    <col min="1" max="1" width="33.140625" style="20" customWidth="1"/>
    <col min="2" max="16384" width="9.140625" style="20"/>
  </cols>
  <sheetData>
    <row r="1" spans="1:7" x14ac:dyDescent="0.2">
      <c r="A1" s="19" t="s">
        <v>378</v>
      </c>
    </row>
    <row r="2" spans="1:7" x14ac:dyDescent="0.2">
      <c r="A2" s="19"/>
    </row>
    <row r="3" spans="1:7" x14ac:dyDescent="0.2">
      <c r="A3" s="19"/>
      <c r="B3" s="19" t="s">
        <v>379</v>
      </c>
      <c r="C3" s="19" t="s">
        <v>380</v>
      </c>
      <c r="D3" s="19" t="s">
        <v>381</v>
      </c>
      <c r="E3" s="19" t="s">
        <v>382</v>
      </c>
      <c r="F3" s="19" t="s">
        <v>383</v>
      </c>
      <c r="G3" s="19" t="s">
        <v>6</v>
      </c>
    </row>
    <row r="4" spans="1:7" x14ac:dyDescent="0.2">
      <c r="A4" s="610" t="s">
        <v>384</v>
      </c>
      <c r="B4" s="611"/>
      <c r="C4" s="611"/>
      <c r="D4" s="611"/>
      <c r="E4" s="611"/>
      <c r="F4" s="611"/>
      <c r="G4" s="610"/>
    </row>
    <row r="5" spans="1:7" x14ac:dyDescent="0.2">
      <c r="A5" s="20" t="s">
        <v>385</v>
      </c>
      <c r="B5" s="20">
        <v>16</v>
      </c>
      <c r="C5" s="20">
        <v>45</v>
      </c>
      <c r="D5" s="20">
        <v>52</v>
      </c>
      <c r="E5" s="20">
        <v>52</v>
      </c>
      <c r="F5" s="20">
        <v>64</v>
      </c>
      <c r="G5" s="19">
        <f>SUM(B5:F5)</f>
        <v>229</v>
      </c>
    </row>
    <row r="6" spans="1:7" x14ac:dyDescent="0.2">
      <c r="A6" s="296" t="s">
        <v>386</v>
      </c>
      <c r="B6" s="20">
        <v>1</v>
      </c>
      <c r="C6" s="20">
        <v>3</v>
      </c>
      <c r="D6" s="20">
        <v>4</v>
      </c>
      <c r="E6" s="20">
        <v>7</v>
      </c>
      <c r="F6" s="20">
        <v>8</v>
      </c>
      <c r="G6" s="19">
        <f>SUM(B6:F6)</f>
        <v>23</v>
      </c>
    </row>
    <row r="7" spans="1:7" x14ac:dyDescent="0.2">
      <c r="A7" s="19" t="s">
        <v>7</v>
      </c>
      <c r="B7" s="230">
        <f t="shared" ref="B7:G7" si="0">B6/B5</f>
        <v>6.25E-2</v>
      </c>
      <c r="C7" s="230">
        <f t="shared" si="0"/>
        <v>6.6666666666666666E-2</v>
      </c>
      <c r="D7" s="230">
        <f t="shared" si="0"/>
        <v>7.6923076923076927E-2</v>
      </c>
      <c r="E7" s="230">
        <f t="shared" si="0"/>
        <v>0.13461538461538461</v>
      </c>
      <c r="F7" s="230">
        <f t="shared" si="0"/>
        <v>0.125</v>
      </c>
      <c r="G7" s="230">
        <f t="shared" si="0"/>
        <v>0.10043668122270742</v>
      </c>
    </row>
    <row r="8" spans="1:7" x14ac:dyDescent="0.2">
      <c r="A8" s="20" t="s">
        <v>387</v>
      </c>
      <c r="B8" s="20">
        <v>4</v>
      </c>
      <c r="C8" s="20">
        <v>11</v>
      </c>
      <c r="D8" s="20">
        <v>10</v>
      </c>
      <c r="E8" s="20">
        <v>10</v>
      </c>
      <c r="F8" s="20">
        <v>9</v>
      </c>
      <c r="G8" s="19">
        <f>SUM(B8:F8)</f>
        <v>44</v>
      </c>
    </row>
    <row r="9" spans="1:7" x14ac:dyDescent="0.2">
      <c r="A9" s="296" t="s">
        <v>386</v>
      </c>
      <c r="B9" s="20">
        <v>0</v>
      </c>
      <c r="C9" s="20">
        <v>1</v>
      </c>
      <c r="D9" s="20">
        <v>0</v>
      </c>
      <c r="E9" s="20">
        <v>3</v>
      </c>
      <c r="F9" s="20">
        <v>0</v>
      </c>
      <c r="G9" s="19">
        <f>SUM(B9:F9)</f>
        <v>4</v>
      </c>
    </row>
    <row r="10" spans="1:7" x14ac:dyDescent="0.2">
      <c r="A10" s="19" t="s">
        <v>7</v>
      </c>
      <c r="B10" s="230">
        <f t="shared" ref="B10:G10" si="1">B9/B8</f>
        <v>0</v>
      </c>
      <c r="C10" s="230">
        <f t="shared" si="1"/>
        <v>9.0909090909090912E-2</v>
      </c>
      <c r="D10" s="230">
        <f t="shared" si="1"/>
        <v>0</v>
      </c>
      <c r="E10" s="230">
        <f t="shared" si="1"/>
        <v>0.3</v>
      </c>
      <c r="F10" s="230">
        <f t="shared" si="1"/>
        <v>0</v>
      </c>
      <c r="G10" s="230">
        <f t="shared" si="1"/>
        <v>9.0909090909090912E-2</v>
      </c>
    </row>
    <row r="11" spans="1:7" x14ac:dyDescent="0.2">
      <c r="A11" s="610" t="s">
        <v>388</v>
      </c>
      <c r="B11" s="611"/>
      <c r="C11" s="611"/>
      <c r="D11" s="611"/>
      <c r="E11" s="611"/>
      <c r="F11" s="611"/>
      <c r="G11" s="610"/>
    </row>
    <row r="12" spans="1:7" x14ac:dyDescent="0.2">
      <c r="A12" s="20" t="s">
        <v>385</v>
      </c>
      <c r="B12" s="20">
        <v>15</v>
      </c>
      <c r="C12" s="20">
        <v>54</v>
      </c>
      <c r="D12" s="20">
        <v>42</v>
      </c>
      <c r="E12" s="20">
        <v>46</v>
      </c>
      <c r="F12" s="20">
        <v>41</v>
      </c>
      <c r="G12" s="19">
        <f>SUM(B12:F12)</f>
        <v>198</v>
      </c>
    </row>
    <row r="13" spans="1:7" x14ac:dyDescent="0.2">
      <c r="A13" s="296" t="s">
        <v>386</v>
      </c>
      <c r="B13" s="20">
        <v>1</v>
      </c>
      <c r="C13" s="20">
        <v>10</v>
      </c>
      <c r="D13" s="20">
        <v>6</v>
      </c>
      <c r="E13" s="20">
        <v>9</v>
      </c>
      <c r="F13" s="20">
        <v>12</v>
      </c>
      <c r="G13" s="19">
        <f>SUM(B13:F13)</f>
        <v>38</v>
      </c>
    </row>
    <row r="14" spans="1:7" x14ac:dyDescent="0.2">
      <c r="A14" s="19" t="s">
        <v>7</v>
      </c>
      <c r="B14" s="230">
        <f t="shared" ref="B14:G14" si="2">B13/B12</f>
        <v>6.6666666666666666E-2</v>
      </c>
      <c r="C14" s="230">
        <f t="shared" si="2"/>
        <v>0.18518518518518517</v>
      </c>
      <c r="D14" s="230">
        <f t="shared" si="2"/>
        <v>0.14285714285714285</v>
      </c>
      <c r="E14" s="230">
        <f t="shared" si="2"/>
        <v>0.19565217391304349</v>
      </c>
      <c r="F14" s="230">
        <f t="shared" si="2"/>
        <v>0.29268292682926828</v>
      </c>
      <c r="G14" s="230">
        <f t="shared" si="2"/>
        <v>0.19191919191919191</v>
      </c>
    </row>
    <row r="15" spans="1:7" x14ac:dyDescent="0.2">
      <c r="A15" s="20" t="s">
        <v>387</v>
      </c>
      <c r="B15" s="20">
        <v>3</v>
      </c>
      <c r="C15" s="20">
        <v>10</v>
      </c>
      <c r="D15" s="20">
        <v>10</v>
      </c>
      <c r="E15" s="20">
        <v>11</v>
      </c>
      <c r="F15" s="20">
        <v>9</v>
      </c>
      <c r="G15" s="19">
        <f>SUM(B15:F15)</f>
        <v>43</v>
      </c>
    </row>
    <row r="16" spans="1:7" x14ac:dyDescent="0.2">
      <c r="A16" s="296" t="s">
        <v>386</v>
      </c>
      <c r="B16" s="20">
        <v>1</v>
      </c>
      <c r="C16" s="20">
        <v>1</v>
      </c>
      <c r="D16" s="20">
        <v>1</v>
      </c>
      <c r="E16" s="20">
        <v>4</v>
      </c>
      <c r="F16" s="20">
        <v>5</v>
      </c>
      <c r="G16" s="19">
        <f>SUM(B16:F16)</f>
        <v>12</v>
      </c>
    </row>
    <row r="17" spans="1:7" x14ac:dyDescent="0.2">
      <c r="A17" s="19" t="s">
        <v>7</v>
      </c>
      <c r="B17" s="230">
        <f t="shared" ref="B17:G17" si="3">B16/B15</f>
        <v>0.33333333333333331</v>
      </c>
      <c r="C17" s="230">
        <f t="shared" si="3"/>
        <v>0.1</v>
      </c>
      <c r="D17" s="230">
        <f t="shared" si="3"/>
        <v>0.1</v>
      </c>
      <c r="E17" s="230">
        <f t="shared" si="3"/>
        <v>0.36363636363636365</v>
      </c>
      <c r="F17" s="230">
        <f t="shared" si="3"/>
        <v>0.55555555555555558</v>
      </c>
      <c r="G17" s="230">
        <f t="shared" si="3"/>
        <v>0.27906976744186046</v>
      </c>
    </row>
    <row r="18" spans="1:7" x14ac:dyDescent="0.2">
      <c r="A18" s="610" t="s">
        <v>389</v>
      </c>
      <c r="B18" s="611"/>
      <c r="C18" s="611"/>
      <c r="D18" s="611"/>
      <c r="E18" s="611"/>
      <c r="F18" s="611"/>
      <c r="G18" s="610"/>
    </row>
    <row r="19" spans="1:7" x14ac:dyDescent="0.2">
      <c r="A19" s="20" t="s">
        <v>390</v>
      </c>
      <c r="B19" s="20">
        <v>16</v>
      </c>
      <c r="C19" s="20">
        <v>46</v>
      </c>
      <c r="D19" s="20">
        <v>52</v>
      </c>
      <c r="E19" s="20">
        <v>51</v>
      </c>
      <c r="F19" s="20">
        <v>59</v>
      </c>
      <c r="G19" s="19">
        <f>SUM(B19:F19)</f>
        <v>224</v>
      </c>
    </row>
    <row r="20" spans="1:7" x14ac:dyDescent="0.2">
      <c r="A20" s="296" t="s">
        <v>391</v>
      </c>
      <c r="B20" s="20">
        <v>1</v>
      </c>
      <c r="C20" s="20">
        <v>2</v>
      </c>
      <c r="D20" s="20">
        <v>4</v>
      </c>
      <c r="E20" s="20">
        <v>3</v>
      </c>
      <c r="F20" s="20">
        <v>11</v>
      </c>
      <c r="G20" s="19">
        <f>SUM(B20:F20)</f>
        <v>21</v>
      </c>
    </row>
    <row r="21" spans="1:7" x14ac:dyDescent="0.2">
      <c r="A21" s="19" t="s">
        <v>7</v>
      </c>
      <c r="B21" s="230">
        <f t="shared" ref="B21:G21" si="4">B20/B19</f>
        <v>6.25E-2</v>
      </c>
      <c r="C21" s="230">
        <f t="shared" si="4"/>
        <v>4.3478260869565216E-2</v>
      </c>
      <c r="D21" s="230">
        <f t="shared" si="4"/>
        <v>7.6923076923076927E-2</v>
      </c>
      <c r="E21" s="230">
        <f t="shared" si="4"/>
        <v>5.8823529411764705E-2</v>
      </c>
      <c r="F21" s="230">
        <f t="shared" si="4"/>
        <v>0.1864406779661017</v>
      </c>
      <c r="G21" s="230">
        <f t="shared" si="4"/>
        <v>9.375E-2</v>
      </c>
    </row>
    <row r="22" spans="1:7" x14ac:dyDescent="0.2">
      <c r="A22" s="20" t="s">
        <v>392</v>
      </c>
      <c r="B22" s="20">
        <v>4</v>
      </c>
      <c r="C22" s="20">
        <v>10</v>
      </c>
      <c r="D22" s="20">
        <v>11</v>
      </c>
      <c r="E22" s="20">
        <v>10</v>
      </c>
      <c r="F22" s="20">
        <v>9</v>
      </c>
      <c r="G22" s="19">
        <f>SUM(B22:F22)</f>
        <v>44</v>
      </c>
    </row>
    <row r="23" spans="1:7" x14ac:dyDescent="0.2">
      <c r="A23" s="296" t="s">
        <v>391</v>
      </c>
      <c r="B23" s="20">
        <v>0</v>
      </c>
      <c r="C23" s="20">
        <v>0</v>
      </c>
      <c r="D23" s="20">
        <v>0</v>
      </c>
      <c r="E23" s="20">
        <v>1</v>
      </c>
      <c r="F23" s="20">
        <v>0</v>
      </c>
      <c r="G23" s="19">
        <f>SUM(B23:F23)</f>
        <v>1</v>
      </c>
    </row>
    <row r="24" spans="1:7" x14ac:dyDescent="0.2">
      <c r="A24" s="19" t="s">
        <v>7</v>
      </c>
      <c r="B24" s="230">
        <f t="shared" ref="B24:G24" si="5">B23/B22</f>
        <v>0</v>
      </c>
      <c r="C24" s="230">
        <f t="shared" si="5"/>
        <v>0</v>
      </c>
      <c r="D24" s="230">
        <f t="shared" si="5"/>
        <v>0</v>
      </c>
      <c r="E24" s="230">
        <f t="shared" si="5"/>
        <v>0.1</v>
      </c>
      <c r="F24" s="230">
        <f t="shared" si="5"/>
        <v>0</v>
      </c>
      <c r="G24" s="230">
        <f t="shared" si="5"/>
        <v>2.2727272727272728E-2</v>
      </c>
    </row>
    <row r="25" spans="1:7" x14ac:dyDescent="0.2">
      <c r="A25" s="20" t="s">
        <v>393</v>
      </c>
    </row>
    <row r="27" spans="1:7" x14ac:dyDescent="0.2">
      <c r="A27" s="20" t="s">
        <v>646</v>
      </c>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Normal="100" workbookViewId="0">
      <selection activeCell="A11" sqref="A11"/>
    </sheetView>
  </sheetViews>
  <sheetFormatPr baseColWidth="10" defaultColWidth="9.140625" defaultRowHeight="11.25" x14ac:dyDescent="0.2"/>
  <cols>
    <col min="1" max="1" width="23.42578125" style="20" customWidth="1"/>
    <col min="2" max="13" width="9.140625" style="20"/>
    <col min="14" max="14" width="17.5703125" style="20" customWidth="1"/>
    <col min="15" max="16384" width="9.140625" style="20"/>
  </cols>
  <sheetData>
    <row r="1" spans="1:16" x14ac:dyDescent="0.2">
      <c r="A1" s="19" t="s">
        <v>0</v>
      </c>
    </row>
    <row r="2" spans="1:16" x14ac:dyDescent="0.2">
      <c r="A2" s="19"/>
    </row>
    <row r="3" spans="1:16" x14ac:dyDescent="0.2">
      <c r="B3" s="701" t="s">
        <v>3</v>
      </c>
      <c r="C3" s="701"/>
      <c r="D3" s="701"/>
      <c r="E3" s="702"/>
      <c r="F3" s="696" t="s">
        <v>2</v>
      </c>
      <c r="G3" s="699"/>
      <c r="H3" s="699"/>
      <c r="I3" s="700"/>
      <c r="J3" s="696" t="s">
        <v>1</v>
      </c>
      <c r="K3" s="697"/>
      <c r="L3" s="697"/>
      <c r="M3" s="698"/>
      <c r="N3" s="37" t="s">
        <v>654</v>
      </c>
      <c r="O3" s="38" t="s">
        <v>655</v>
      </c>
      <c r="P3" s="23"/>
    </row>
    <row r="4" spans="1:16" ht="22.5" x14ac:dyDescent="0.2">
      <c r="B4" s="24" t="s">
        <v>10</v>
      </c>
      <c r="C4" s="24" t="s">
        <v>11</v>
      </c>
      <c r="D4" s="24" t="s">
        <v>8</v>
      </c>
      <c r="E4" s="25" t="s">
        <v>9</v>
      </c>
      <c r="F4" s="26" t="s">
        <v>4</v>
      </c>
      <c r="G4" s="24" t="s">
        <v>5</v>
      </c>
      <c r="H4" s="24" t="s">
        <v>8</v>
      </c>
      <c r="I4" s="25" t="s">
        <v>9</v>
      </c>
      <c r="J4" s="22" t="s">
        <v>4</v>
      </c>
      <c r="K4" s="27" t="s">
        <v>5</v>
      </c>
      <c r="L4" s="27" t="s">
        <v>6</v>
      </c>
      <c r="M4" s="28" t="s">
        <v>7</v>
      </c>
      <c r="N4" s="29" t="s">
        <v>7</v>
      </c>
      <c r="O4" s="703" t="s">
        <v>7</v>
      </c>
      <c r="P4" s="704"/>
    </row>
    <row r="5" spans="1:16" x14ac:dyDescent="0.2">
      <c r="A5" s="20" t="s">
        <v>12</v>
      </c>
      <c r="B5" s="30">
        <v>11</v>
      </c>
      <c r="C5" s="30">
        <v>15</v>
      </c>
      <c r="D5" s="30">
        <v>26</v>
      </c>
      <c r="E5" s="31">
        <v>0.42</v>
      </c>
      <c r="F5" s="32">
        <v>9</v>
      </c>
      <c r="G5" s="30">
        <v>17</v>
      </c>
      <c r="H5" s="30">
        <v>26</v>
      </c>
      <c r="I5" s="31">
        <v>0.35</v>
      </c>
      <c r="J5" s="33">
        <v>9</v>
      </c>
      <c r="K5" s="34">
        <v>17</v>
      </c>
      <c r="L5" s="34">
        <f>J5+K5</f>
        <v>26</v>
      </c>
      <c r="M5" s="35">
        <f>J5/L5</f>
        <v>0.34615384615384615</v>
      </c>
      <c r="N5" s="36">
        <v>0.31</v>
      </c>
      <c r="O5" s="694">
        <v>0.33</v>
      </c>
      <c r="P5" s="695"/>
    </row>
    <row r="6" spans="1:16" x14ac:dyDescent="0.2">
      <c r="A6" s="20" t="s">
        <v>13</v>
      </c>
      <c r="B6" s="30">
        <v>17</v>
      </c>
      <c r="C6" s="30">
        <v>15</v>
      </c>
      <c r="D6" s="30">
        <v>32</v>
      </c>
      <c r="E6" s="31">
        <v>0.53</v>
      </c>
      <c r="F6" s="32">
        <v>15</v>
      </c>
      <c r="G6" s="30">
        <v>17</v>
      </c>
      <c r="H6" s="30">
        <v>32</v>
      </c>
      <c r="I6" s="31">
        <v>0.47</v>
      </c>
      <c r="J6" s="33">
        <v>13</v>
      </c>
      <c r="K6" s="34">
        <v>19</v>
      </c>
      <c r="L6" s="34">
        <f>J6+K6</f>
        <v>32</v>
      </c>
      <c r="M6" s="35">
        <f>J6/L6</f>
        <v>0.40625</v>
      </c>
      <c r="N6" s="36">
        <v>0.41</v>
      </c>
      <c r="O6" s="694">
        <v>0.42</v>
      </c>
      <c r="P6" s="695"/>
    </row>
    <row r="7" spans="1:16" x14ac:dyDescent="0.2">
      <c r="A7" s="20" t="s">
        <v>14</v>
      </c>
    </row>
    <row r="8" spans="1:16" x14ac:dyDescent="0.2">
      <c r="A8" s="20" t="s">
        <v>15</v>
      </c>
    </row>
    <row r="9" spans="1:16" x14ac:dyDescent="0.2">
      <c r="A9" s="20" t="s">
        <v>16</v>
      </c>
    </row>
    <row r="11" spans="1:16" x14ac:dyDescent="0.2">
      <c r="A11" s="20" t="s">
        <v>909</v>
      </c>
    </row>
  </sheetData>
  <mergeCells count="6">
    <mergeCell ref="O6:P6"/>
    <mergeCell ref="J3:M3"/>
    <mergeCell ref="F3:I3"/>
    <mergeCell ref="B3:E3"/>
    <mergeCell ref="O4:P4"/>
    <mergeCell ref="O5:P5"/>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workbookViewId="0">
      <selection activeCell="A34" sqref="A34"/>
    </sheetView>
  </sheetViews>
  <sheetFormatPr baseColWidth="10" defaultColWidth="9.140625" defaultRowHeight="11.25" x14ac:dyDescent="0.2"/>
  <cols>
    <col min="1" max="1" width="28.42578125" style="20" customWidth="1"/>
    <col min="2" max="16384" width="9.140625" style="20"/>
  </cols>
  <sheetData>
    <row r="1" spans="1:7" x14ac:dyDescent="0.2">
      <c r="A1" s="19" t="s">
        <v>394</v>
      </c>
    </row>
    <row r="2" spans="1:7" x14ac:dyDescent="0.2">
      <c r="A2" s="19"/>
    </row>
    <row r="3" spans="1:7" x14ac:dyDescent="0.2">
      <c r="A3" s="19"/>
      <c r="B3" s="19" t="s">
        <v>395</v>
      </c>
      <c r="C3" s="19" t="s">
        <v>380</v>
      </c>
      <c r="D3" s="19" t="s">
        <v>381</v>
      </c>
      <c r="E3" s="19" t="s">
        <v>382</v>
      </c>
      <c r="F3" s="19" t="s">
        <v>383</v>
      </c>
      <c r="G3" s="19" t="s">
        <v>6</v>
      </c>
    </row>
    <row r="4" spans="1:7" x14ac:dyDescent="0.2">
      <c r="A4" s="610" t="s">
        <v>396</v>
      </c>
      <c r="B4" s="611"/>
      <c r="C4" s="611"/>
      <c r="D4" s="611"/>
      <c r="E4" s="611"/>
      <c r="F4" s="611"/>
      <c r="G4" s="611"/>
    </row>
    <row r="5" spans="1:7" x14ac:dyDescent="0.2">
      <c r="A5" s="20" t="s">
        <v>387</v>
      </c>
      <c r="B5" s="20">
        <v>13</v>
      </c>
      <c r="C5" s="20">
        <v>12</v>
      </c>
      <c r="D5" s="20">
        <v>12</v>
      </c>
      <c r="E5" s="20">
        <v>10</v>
      </c>
      <c r="F5" s="20">
        <v>9</v>
      </c>
      <c r="G5" s="19">
        <f>SUM(B5:F5)</f>
        <v>56</v>
      </c>
    </row>
    <row r="6" spans="1:7" x14ac:dyDescent="0.2">
      <c r="A6" s="296" t="s">
        <v>386</v>
      </c>
      <c r="B6" s="20">
        <v>0</v>
      </c>
      <c r="C6" s="20">
        <v>0</v>
      </c>
      <c r="D6" s="20">
        <v>1</v>
      </c>
      <c r="E6" s="20">
        <v>0</v>
      </c>
      <c r="F6" s="20">
        <v>0</v>
      </c>
      <c r="G6" s="19">
        <f>SUM(B6:F6)</f>
        <v>1</v>
      </c>
    </row>
    <row r="7" spans="1:7" x14ac:dyDescent="0.2">
      <c r="A7" s="19" t="s">
        <v>7</v>
      </c>
      <c r="B7" s="230">
        <f t="shared" ref="B7:G7" si="0">B6/B5</f>
        <v>0</v>
      </c>
      <c r="C7" s="230">
        <f t="shared" si="0"/>
        <v>0</v>
      </c>
      <c r="D7" s="230">
        <f t="shared" si="0"/>
        <v>8.3333333333333329E-2</v>
      </c>
      <c r="E7" s="230">
        <f t="shared" si="0"/>
        <v>0</v>
      </c>
      <c r="F7" s="230">
        <f t="shared" si="0"/>
        <v>0</v>
      </c>
      <c r="G7" s="230">
        <f t="shared" si="0"/>
        <v>1.7857142857142856E-2</v>
      </c>
    </row>
    <row r="8" spans="1:7" x14ac:dyDescent="0.2">
      <c r="A8" s="610" t="s">
        <v>397</v>
      </c>
      <c r="B8" s="611"/>
      <c r="C8" s="611"/>
      <c r="D8" s="611"/>
      <c r="E8" s="611"/>
      <c r="F8" s="611"/>
      <c r="G8" s="611"/>
    </row>
    <row r="9" spans="1:7" x14ac:dyDescent="0.2">
      <c r="A9" s="20" t="s">
        <v>387</v>
      </c>
      <c r="B9" s="20">
        <v>8</v>
      </c>
      <c r="C9" s="20">
        <v>10</v>
      </c>
      <c r="D9" s="20">
        <v>10</v>
      </c>
      <c r="E9" s="20">
        <v>10</v>
      </c>
      <c r="F9" s="19">
        <v>9</v>
      </c>
      <c r="G9" s="19">
        <f>SUM(B9:F9)</f>
        <v>47</v>
      </c>
    </row>
    <row r="10" spans="1:7" x14ac:dyDescent="0.2">
      <c r="A10" s="296" t="s">
        <v>386</v>
      </c>
      <c r="B10" s="20">
        <v>0</v>
      </c>
      <c r="C10" s="20">
        <v>2</v>
      </c>
      <c r="D10" s="20">
        <v>1</v>
      </c>
      <c r="E10" s="20">
        <v>2</v>
      </c>
      <c r="F10" s="19">
        <v>1</v>
      </c>
      <c r="G10" s="19">
        <f>SUM(B10:F10)</f>
        <v>6</v>
      </c>
    </row>
    <row r="11" spans="1:7" x14ac:dyDescent="0.2">
      <c r="A11" s="612" t="s">
        <v>7</v>
      </c>
      <c r="B11" s="613">
        <f>B10/B9</f>
        <v>0</v>
      </c>
      <c r="C11" s="613">
        <f>C10/C9</f>
        <v>0.2</v>
      </c>
      <c r="D11" s="613">
        <f>D10/D9</f>
        <v>0.1</v>
      </c>
      <c r="E11" s="613">
        <f>E10/E9</f>
        <v>0.2</v>
      </c>
      <c r="F11" s="613">
        <f>F10/F9</f>
        <v>0.1111111111111111</v>
      </c>
      <c r="G11" s="613">
        <f>F10/F9</f>
        <v>0.1111111111111111</v>
      </c>
    </row>
    <row r="12" spans="1:7" x14ac:dyDescent="0.2">
      <c r="A12" s="610" t="s">
        <v>398</v>
      </c>
      <c r="B12" s="611"/>
      <c r="C12" s="611"/>
      <c r="D12" s="611"/>
      <c r="E12" s="611"/>
      <c r="F12" s="611"/>
      <c r="G12" s="610"/>
    </row>
    <row r="13" spans="1:7" x14ac:dyDescent="0.2">
      <c r="A13" s="20" t="s">
        <v>387</v>
      </c>
      <c r="B13" s="20">
        <v>9</v>
      </c>
      <c r="C13" s="20">
        <v>10</v>
      </c>
      <c r="D13" s="20">
        <v>10</v>
      </c>
      <c r="E13" s="20">
        <v>10</v>
      </c>
      <c r="F13" s="20">
        <v>9</v>
      </c>
      <c r="G13" s="19">
        <f>SUM(B13:F13)</f>
        <v>48</v>
      </c>
    </row>
    <row r="14" spans="1:7" x14ac:dyDescent="0.2">
      <c r="A14" s="296" t="s">
        <v>386</v>
      </c>
      <c r="B14" s="20">
        <v>0</v>
      </c>
      <c r="C14" s="20">
        <v>1</v>
      </c>
      <c r="D14" s="20">
        <v>0</v>
      </c>
      <c r="E14" s="20">
        <v>1</v>
      </c>
      <c r="F14" s="20">
        <v>1</v>
      </c>
      <c r="G14" s="19">
        <f>SUM(B14:F14)</f>
        <v>3</v>
      </c>
    </row>
    <row r="15" spans="1:7" x14ac:dyDescent="0.2">
      <c r="A15" s="19" t="s">
        <v>7</v>
      </c>
      <c r="B15" s="230">
        <f t="shared" ref="B15:G15" si="1">B14/B13</f>
        <v>0</v>
      </c>
      <c r="C15" s="230">
        <f t="shared" si="1"/>
        <v>0.1</v>
      </c>
      <c r="D15" s="230">
        <f t="shared" si="1"/>
        <v>0</v>
      </c>
      <c r="E15" s="230">
        <f t="shared" si="1"/>
        <v>0.1</v>
      </c>
      <c r="F15" s="230">
        <f t="shared" si="1"/>
        <v>0.1111111111111111</v>
      </c>
      <c r="G15" s="230">
        <f t="shared" si="1"/>
        <v>6.25E-2</v>
      </c>
    </row>
    <row r="16" spans="1:7" x14ac:dyDescent="0.2">
      <c r="A16" s="610" t="s">
        <v>399</v>
      </c>
      <c r="B16" s="611"/>
      <c r="C16" s="611"/>
      <c r="D16" s="611"/>
      <c r="E16" s="611"/>
      <c r="F16" s="611"/>
      <c r="G16" s="610"/>
    </row>
    <row r="17" spans="1:7" x14ac:dyDescent="0.2">
      <c r="A17" s="20" t="s">
        <v>400</v>
      </c>
      <c r="B17" s="20">
        <v>10</v>
      </c>
      <c r="C17" s="20">
        <v>10</v>
      </c>
      <c r="D17" s="20">
        <v>10</v>
      </c>
      <c r="E17" s="20">
        <v>10</v>
      </c>
      <c r="F17" s="20">
        <v>9</v>
      </c>
      <c r="G17" s="19">
        <f>SUM(B17:F17)</f>
        <v>49</v>
      </c>
    </row>
    <row r="18" spans="1:7" x14ac:dyDescent="0.2">
      <c r="A18" s="296" t="s">
        <v>391</v>
      </c>
      <c r="B18" s="20">
        <v>4</v>
      </c>
      <c r="C18" s="20">
        <v>0</v>
      </c>
      <c r="D18" s="20">
        <v>2</v>
      </c>
      <c r="E18" s="20">
        <v>2</v>
      </c>
      <c r="F18" s="20">
        <v>2</v>
      </c>
      <c r="G18" s="19">
        <f>SUM(B18:F18)</f>
        <v>10</v>
      </c>
    </row>
    <row r="19" spans="1:7" x14ac:dyDescent="0.2">
      <c r="A19" s="19" t="s">
        <v>7</v>
      </c>
      <c r="B19" s="230">
        <f t="shared" ref="B19:G19" si="2">B18/B17</f>
        <v>0.4</v>
      </c>
      <c r="C19" s="230">
        <f t="shared" si="2"/>
        <v>0</v>
      </c>
      <c r="D19" s="230">
        <f t="shared" si="2"/>
        <v>0.2</v>
      </c>
      <c r="E19" s="230">
        <f t="shared" si="2"/>
        <v>0.2</v>
      </c>
      <c r="F19" s="230">
        <f t="shared" si="2"/>
        <v>0.22222222222222221</v>
      </c>
      <c r="G19" s="230">
        <f t="shared" si="2"/>
        <v>0.20408163265306123</v>
      </c>
    </row>
    <row r="20" spans="1:7" x14ac:dyDescent="0.2">
      <c r="A20" s="19"/>
      <c r="B20" s="230"/>
      <c r="C20" s="230"/>
      <c r="D20" s="230"/>
      <c r="E20" s="230"/>
      <c r="F20" s="230"/>
      <c r="G20" s="230"/>
    </row>
    <row r="21" spans="1:7" x14ac:dyDescent="0.2">
      <c r="A21" s="20" t="s">
        <v>646</v>
      </c>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15"/>
  <sheetViews>
    <sheetView zoomScaleNormal="100" workbookViewId="0">
      <selection activeCell="F16" sqref="F16"/>
    </sheetView>
  </sheetViews>
  <sheetFormatPr baseColWidth="10" defaultColWidth="9.140625" defaultRowHeight="11.25" x14ac:dyDescent="0.2"/>
  <cols>
    <col min="1" max="1" width="27" style="20" customWidth="1"/>
    <col min="2" max="16384" width="9.140625" style="20"/>
  </cols>
  <sheetData>
    <row r="1" spans="1:5" x14ac:dyDescent="0.2">
      <c r="A1" s="19" t="s">
        <v>401</v>
      </c>
    </row>
    <row r="2" spans="1:5" x14ac:dyDescent="0.2">
      <c r="A2" s="19"/>
    </row>
    <row r="3" spans="1:5" x14ac:dyDescent="0.2">
      <c r="B3" s="19" t="s">
        <v>4</v>
      </c>
      <c r="C3" s="19" t="s">
        <v>5</v>
      </c>
      <c r="D3" s="19" t="s">
        <v>402</v>
      </c>
      <c r="E3" s="19" t="s">
        <v>403</v>
      </c>
    </row>
    <row r="4" spans="1:5" x14ac:dyDescent="0.2">
      <c r="A4" s="19" t="s">
        <v>404</v>
      </c>
      <c r="B4" s="20">
        <v>12</v>
      </c>
      <c r="C4" s="20">
        <v>32</v>
      </c>
      <c r="D4" s="20">
        <v>6</v>
      </c>
      <c r="E4" s="297">
        <f>12/50</f>
        <v>0.24</v>
      </c>
    </row>
    <row r="5" spans="1:5" x14ac:dyDescent="0.2">
      <c r="A5" s="19" t="s">
        <v>405</v>
      </c>
      <c r="B5" s="20">
        <v>9</v>
      </c>
      <c r="C5" s="20">
        <v>25</v>
      </c>
      <c r="D5" s="20">
        <v>16</v>
      </c>
      <c r="E5" s="297">
        <f>9/50</f>
        <v>0.18</v>
      </c>
    </row>
    <row r="6" spans="1:5" x14ac:dyDescent="0.2">
      <c r="A6" s="19" t="s">
        <v>406</v>
      </c>
      <c r="B6" s="20">
        <v>13</v>
      </c>
      <c r="C6" s="20">
        <v>33</v>
      </c>
      <c r="D6" s="20">
        <v>4</v>
      </c>
      <c r="E6" s="297">
        <f>13/50</f>
        <v>0.26</v>
      </c>
    </row>
    <row r="7" spans="1:5" x14ac:dyDescent="0.2">
      <c r="A7" s="19"/>
      <c r="E7" s="297"/>
    </row>
    <row r="8" spans="1:5" x14ac:dyDescent="0.2">
      <c r="A8" s="20" t="s">
        <v>407</v>
      </c>
      <c r="B8" s="230"/>
    </row>
    <row r="9" spans="1:5" x14ac:dyDescent="0.2">
      <c r="A9" s="296"/>
      <c r="B9" s="230"/>
    </row>
    <row r="11" spans="1:5" x14ac:dyDescent="0.2">
      <c r="A11" s="195"/>
    </row>
    <row r="15" spans="1:5" x14ac:dyDescent="0.2">
      <c r="A15" s="68"/>
    </row>
  </sheetData>
  <pageMargins left="0.78749999999999998" right="0.78749999999999998" top="1.0249999999999999" bottom="1.0249999999999999" header="0.78749999999999998" footer="0.78749999999999998"/>
  <pageSetup paperSize="9" firstPageNumber="0" orientation="portrait" verticalDpi="0" r:id="rId1"/>
  <headerFooter>
    <oddHeader>&amp;C&amp;"Arial,Normal"&amp;10&amp;A</oddHeader>
    <oddFooter>&amp;C&amp;"Arial,Normal"&amp;10Page &amp;P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A35" sqref="A35"/>
    </sheetView>
  </sheetViews>
  <sheetFormatPr baseColWidth="10" defaultColWidth="9.140625" defaultRowHeight="11.25" x14ac:dyDescent="0.2"/>
  <cols>
    <col min="1" max="1" width="36.42578125" style="20" customWidth="1"/>
    <col min="2" max="16384" width="9.140625" style="20"/>
  </cols>
  <sheetData>
    <row r="1" spans="1:6" x14ac:dyDescent="0.2">
      <c r="A1" s="19" t="s">
        <v>408</v>
      </c>
    </row>
    <row r="2" spans="1:6" x14ac:dyDescent="0.2">
      <c r="A2" s="19"/>
    </row>
    <row r="3" spans="1:6" x14ac:dyDescent="0.2">
      <c r="A3" s="19"/>
      <c r="B3" s="19" t="s">
        <v>409</v>
      </c>
      <c r="C3" s="19" t="s">
        <v>381</v>
      </c>
      <c r="D3" s="19" t="s">
        <v>382</v>
      </c>
      <c r="E3" s="19" t="s">
        <v>383</v>
      </c>
      <c r="F3" s="19" t="s">
        <v>6</v>
      </c>
    </row>
    <row r="4" spans="1:6" x14ac:dyDescent="0.2">
      <c r="A4" s="610" t="s">
        <v>410</v>
      </c>
      <c r="B4" s="611"/>
      <c r="C4" s="611"/>
      <c r="D4" s="611"/>
      <c r="E4" s="611"/>
      <c r="F4" s="611"/>
    </row>
    <row r="5" spans="1:6" x14ac:dyDescent="0.2">
      <c r="A5" s="20" t="s">
        <v>411</v>
      </c>
      <c r="B5" s="20">
        <v>6</v>
      </c>
      <c r="C5" s="20">
        <v>10</v>
      </c>
      <c r="D5" s="20">
        <v>19</v>
      </c>
      <c r="E5" s="20">
        <v>19</v>
      </c>
      <c r="F5" s="19">
        <f>SUM(B5:E5)</f>
        <v>54</v>
      </c>
    </row>
    <row r="6" spans="1:6" x14ac:dyDescent="0.2">
      <c r="A6" s="20" t="s">
        <v>5</v>
      </c>
      <c r="B6" s="20">
        <v>5</v>
      </c>
      <c r="C6" s="20">
        <v>10</v>
      </c>
      <c r="D6" s="20">
        <v>17</v>
      </c>
      <c r="E6" s="20">
        <v>14</v>
      </c>
      <c r="F6" s="19">
        <f>SUM(B6:E6)</f>
        <v>46</v>
      </c>
    </row>
    <row r="7" spans="1:6" x14ac:dyDescent="0.2">
      <c r="A7" s="20" t="s">
        <v>4</v>
      </c>
      <c r="B7" s="20">
        <v>0</v>
      </c>
      <c r="C7" s="20">
        <v>0</v>
      </c>
      <c r="D7" s="20">
        <v>1</v>
      </c>
      <c r="E7" s="20">
        <v>3</v>
      </c>
      <c r="F7" s="19">
        <f>SUM(B7:E7)</f>
        <v>4</v>
      </c>
    </row>
    <row r="8" spans="1:6" x14ac:dyDescent="0.2">
      <c r="A8" s="20" t="s">
        <v>412</v>
      </c>
      <c r="B8" s="20">
        <v>1</v>
      </c>
      <c r="C8" s="20">
        <v>0</v>
      </c>
      <c r="D8" s="20">
        <v>1</v>
      </c>
      <c r="E8" s="20">
        <v>2</v>
      </c>
      <c r="F8" s="19">
        <f>SUM(B8:E8)</f>
        <v>4</v>
      </c>
    </row>
    <row r="9" spans="1:6" x14ac:dyDescent="0.2">
      <c r="A9" s="19" t="s">
        <v>7</v>
      </c>
      <c r="B9" s="230">
        <f>B7/B5</f>
        <v>0</v>
      </c>
      <c r="C9" s="230">
        <f>C7/C5</f>
        <v>0</v>
      </c>
      <c r="D9" s="230">
        <f>D7/D5</f>
        <v>5.2631578947368418E-2</v>
      </c>
      <c r="E9" s="230">
        <f>E7/E5</f>
        <v>0.15789473684210525</v>
      </c>
      <c r="F9" s="230">
        <f>F7/F5</f>
        <v>7.407407407407407E-2</v>
      </c>
    </row>
    <row r="10" spans="1:6" x14ac:dyDescent="0.2">
      <c r="A10" s="610" t="s">
        <v>413</v>
      </c>
      <c r="B10" s="610"/>
      <c r="C10" s="610"/>
      <c r="D10" s="610"/>
      <c r="E10" s="610"/>
      <c r="F10" s="610"/>
    </row>
    <row r="11" spans="1:6" x14ac:dyDescent="0.2">
      <c r="A11" s="20" t="s">
        <v>414</v>
      </c>
      <c r="D11" s="20">
        <v>8</v>
      </c>
      <c r="E11" s="20">
        <v>9</v>
      </c>
      <c r="F11" s="20">
        <f>SUM(D11:E11)</f>
        <v>17</v>
      </c>
    </row>
    <row r="12" spans="1:6" x14ac:dyDescent="0.2">
      <c r="A12" s="20" t="s">
        <v>5</v>
      </c>
      <c r="D12" s="20">
        <v>6</v>
      </c>
      <c r="E12" s="20">
        <v>8</v>
      </c>
      <c r="F12" s="20">
        <f>SUM(D12:E12)</f>
        <v>14</v>
      </c>
    </row>
    <row r="13" spans="1:6" x14ac:dyDescent="0.2">
      <c r="A13" s="20" t="s">
        <v>4</v>
      </c>
      <c r="D13" s="20">
        <v>0</v>
      </c>
      <c r="E13" s="20">
        <v>1</v>
      </c>
      <c r="F13" s="20">
        <f>SUM(D13:E13)</f>
        <v>1</v>
      </c>
    </row>
    <row r="14" spans="1:6" x14ac:dyDescent="0.2">
      <c r="A14" s="20" t="s">
        <v>412</v>
      </c>
      <c r="D14" s="20">
        <v>2</v>
      </c>
      <c r="E14" s="20">
        <v>0</v>
      </c>
      <c r="F14" s="20">
        <f>SUM(D14:E14)</f>
        <v>2</v>
      </c>
    </row>
    <row r="15" spans="1:6" x14ac:dyDescent="0.2">
      <c r="A15" s="19" t="s">
        <v>7</v>
      </c>
      <c r="B15" s="230"/>
      <c r="C15" s="230"/>
      <c r="D15" s="230">
        <f>D13/D11</f>
        <v>0</v>
      </c>
      <c r="E15" s="230">
        <f>E13/E11</f>
        <v>0.1111111111111111</v>
      </c>
      <c r="F15" s="230">
        <f>F13/F11</f>
        <v>5.8823529411764705E-2</v>
      </c>
    </row>
    <row r="16" spans="1:6" x14ac:dyDescent="0.2">
      <c r="A16" s="610" t="s">
        <v>415</v>
      </c>
      <c r="B16" s="611"/>
      <c r="C16" s="611"/>
      <c r="D16" s="611"/>
      <c r="E16" s="611"/>
      <c r="F16" s="611"/>
    </row>
    <row r="17" spans="1:6" x14ac:dyDescent="0.2">
      <c r="A17" s="20" t="s">
        <v>416</v>
      </c>
      <c r="B17" s="20">
        <v>7</v>
      </c>
      <c r="C17" s="20">
        <v>18</v>
      </c>
      <c r="D17" s="20">
        <v>29</v>
      </c>
      <c r="E17" s="20">
        <v>24</v>
      </c>
      <c r="F17" s="20">
        <f>SUM(B17:E17)</f>
        <v>78</v>
      </c>
    </row>
    <row r="18" spans="1:6" x14ac:dyDescent="0.2">
      <c r="A18" s="20" t="s">
        <v>5</v>
      </c>
      <c r="B18" s="20">
        <v>2</v>
      </c>
      <c r="C18" s="20">
        <v>10</v>
      </c>
      <c r="D18" s="20">
        <v>21</v>
      </c>
      <c r="E18" s="20">
        <v>19</v>
      </c>
      <c r="F18" s="20">
        <f>SUM(B18:E18)</f>
        <v>52</v>
      </c>
    </row>
    <row r="19" spans="1:6" x14ac:dyDescent="0.2">
      <c r="A19" s="20" t="s">
        <v>4</v>
      </c>
      <c r="B19" s="20">
        <v>5</v>
      </c>
      <c r="C19" s="20">
        <v>8</v>
      </c>
      <c r="D19" s="20">
        <v>8</v>
      </c>
      <c r="E19" s="20">
        <v>5</v>
      </c>
      <c r="F19" s="20">
        <f>SUM(B19:E19)</f>
        <v>26</v>
      </c>
    </row>
    <row r="20" spans="1:6" x14ac:dyDescent="0.2">
      <c r="A20" s="19" t="s">
        <v>7</v>
      </c>
      <c r="B20" s="230">
        <f>B19/B17</f>
        <v>0.7142857142857143</v>
      </c>
      <c r="C20" s="230">
        <f>C19/C17</f>
        <v>0.44444444444444442</v>
      </c>
      <c r="D20" s="230">
        <f>D19/D17</f>
        <v>0.27586206896551724</v>
      </c>
      <c r="E20" s="230">
        <f>E19/E17</f>
        <v>0.20833333333333334</v>
      </c>
      <c r="F20" s="230">
        <f>F19/F17</f>
        <v>0.33333333333333331</v>
      </c>
    </row>
    <row r="21" spans="1:6" x14ac:dyDescent="0.2">
      <c r="A21" s="20" t="s">
        <v>417</v>
      </c>
    </row>
    <row r="22" spans="1:6" x14ac:dyDescent="0.2">
      <c r="A22" s="20" t="s">
        <v>663</v>
      </c>
    </row>
    <row r="24" spans="1:6" x14ac:dyDescent="0.2">
      <c r="A24" s="20" t="s">
        <v>646</v>
      </c>
    </row>
    <row r="26" spans="1:6" x14ac:dyDescent="0.2">
      <c r="A26" s="375"/>
      <c r="B26" s="375"/>
    </row>
    <row r="27" spans="1:6" x14ac:dyDescent="0.2">
      <c r="A27" s="375"/>
      <c r="B27" s="375"/>
    </row>
    <row r="28" spans="1:6" x14ac:dyDescent="0.2">
      <c r="A28" s="375"/>
      <c r="B28" s="375"/>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C44" sqref="C44"/>
    </sheetView>
  </sheetViews>
  <sheetFormatPr baseColWidth="10" defaultColWidth="9.140625" defaultRowHeight="11.25" x14ac:dyDescent="0.2"/>
  <cols>
    <col min="1" max="1" width="18" style="20" customWidth="1"/>
    <col min="2" max="16384" width="9.140625" style="20"/>
  </cols>
  <sheetData>
    <row r="1" spans="1:6" x14ac:dyDescent="0.2">
      <c r="A1" s="19" t="s">
        <v>418</v>
      </c>
    </row>
    <row r="2" spans="1:6" x14ac:dyDescent="0.2">
      <c r="A2" s="19"/>
    </row>
    <row r="3" spans="1:6" x14ac:dyDescent="0.2">
      <c r="B3" s="19" t="s">
        <v>419</v>
      </c>
      <c r="C3" s="19" t="s">
        <v>381</v>
      </c>
      <c r="D3" s="19" t="s">
        <v>382</v>
      </c>
      <c r="E3" s="19" t="s">
        <v>383</v>
      </c>
      <c r="F3" s="19" t="s">
        <v>6</v>
      </c>
    </row>
    <row r="4" spans="1:6" x14ac:dyDescent="0.2">
      <c r="A4" s="116" t="s">
        <v>420</v>
      </c>
      <c r="B4" s="117"/>
      <c r="C4" s="117"/>
      <c r="D4" s="117"/>
      <c r="E4" s="117"/>
      <c r="F4" s="117"/>
    </row>
    <row r="5" spans="1:6" x14ac:dyDescent="0.2">
      <c r="A5" s="20" t="s">
        <v>421</v>
      </c>
      <c r="B5" s="20">
        <v>16</v>
      </c>
      <c r="C5" s="20">
        <v>50</v>
      </c>
      <c r="D5" s="20">
        <v>53</v>
      </c>
      <c r="E5" s="20">
        <v>45</v>
      </c>
      <c r="F5" s="20">
        <v>172</v>
      </c>
    </row>
    <row r="6" spans="1:6" x14ac:dyDescent="0.2">
      <c r="A6" s="296" t="s">
        <v>391</v>
      </c>
      <c r="B6" s="20">
        <v>1</v>
      </c>
      <c r="C6" s="20">
        <v>0</v>
      </c>
      <c r="D6" s="20">
        <v>8</v>
      </c>
      <c r="E6" s="20">
        <v>4</v>
      </c>
      <c r="F6" s="20">
        <v>15</v>
      </c>
    </row>
    <row r="7" spans="1:6" x14ac:dyDescent="0.2">
      <c r="A7" s="19" t="s">
        <v>7</v>
      </c>
      <c r="B7" s="230">
        <f>B6/B5</f>
        <v>6.25E-2</v>
      </c>
      <c r="C7" s="230">
        <f>C6/C5</f>
        <v>0</v>
      </c>
      <c r="D7" s="230">
        <f>D6/D5</f>
        <v>0.15094339622641509</v>
      </c>
      <c r="E7" s="230">
        <f>E6/E5</f>
        <v>8.8888888888888892E-2</v>
      </c>
      <c r="F7" s="230">
        <f>F6/F5</f>
        <v>8.7209302325581398E-2</v>
      </c>
    </row>
    <row r="8" spans="1:6" x14ac:dyDescent="0.2">
      <c r="A8" s="20" t="s">
        <v>422</v>
      </c>
      <c r="B8" s="20">
        <v>3</v>
      </c>
      <c r="C8" s="20">
        <v>10</v>
      </c>
      <c r="D8" s="20">
        <v>10</v>
      </c>
      <c r="E8" s="20">
        <v>10</v>
      </c>
      <c r="F8" s="20">
        <v>35</v>
      </c>
    </row>
    <row r="9" spans="1:6" x14ac:dyDescent="0.2">
      <c r="A9" s="296" t="s">
        <v>391</v>
      </c>
      <c r="B9" s="20">
        <v>0</v>
      </c>
      <c r="C9" s="20">
        <v>0</v>
      </c>
      <c r="D9" s="20">
        <v>3</v>
      </c>
      <c r="E9" s="20">
        <v>0</v>
      </c>
      <c r="F9" s="20">
        <v>4</v>
      </c>
    </row>
    <row r="10" spans="1:6" x14ac:dyDescent="0.2">
      <c r="A10" s="19" t="s">
        <v>7</v>
      </c>
      <c r="B10" s="230">
        <f>B9/B8</f>
        <v>0</v>
      </c>
      <c r="C10" s="230">
        <f>C9/C8</f>
        <v>0</v>
      </c>
      <c r="D10" s="230">
        <f>D9/D8</f>
        <v>0.3</v>
      </c>
      <c r="E10" s="230">
        <f>E9/E8</f>
        <v>0</v>
      </c>
      <c r="F10" s="230">
        <f>F9/F8</f>
        <v>0.11428571428571428</v>
      </c>
    </row>
    <row r="11" spans="1:6" x14ac:dyDescent="0.2">
      <c r="A11" s="116" t="s">
        <v>423</v>
      </c>
      <c r="B11" s="117"/>
      <c r="C11" s="117"/>
      <c r="D11" s="117"/>
      <c r="E11" s="117"/>
      <c r="F11" s="117"/>
    </row>
    <row r="12" spans="1:6" x14ac:dyDescent="0.2">
      <c r="A12" s="20" t="s">
        <v>421</v>
      </c>
      <c r="B12" s="20">
        <v>14</v>
      </c>
      <c r="C12" s="20">
        <v>55</v>
      </c>
      <c r="D12" s="20">
        <v>54</v>
      </c>
      <c r="E12" s="20">
        <v>35</v>
      </c>
      <c r="F12" s="20">
        <v>164</v>
      </c>
    </row>
    <row r="13" spans="1:6" x14ac:dyDescent="0.2">
      <c r="A13" s="296" t="s">
        <v>391</v>
      </c>
      <c r="B13" s="20">
        <v>3</v>
      </c>
      <c r="C13" s="20">
        <v>10</v>
      </c>
      <c r="D13" s="20">
        <v>6</v>
      </c>
      <c r="E13" s="20">
        <v>6</v>
      </c>
      <c r="F13" s="20">
        <v>27</v>
      </c>
    </row>
    <row r="14" spans="1:6" x14ac:dyDescent="0.2">
      <c r="A14" s="19" t="s">
        <v>7</v>
      </c>
      <c r="B14" s="230">
        <f>B13/B12</f>
        <v>0.21428571428571427</v>
      </c>
      <c r="C14" s="230">
        <f>C13/C12</f>
        <v>0.18181818181818182</v>
      </c>
      <c r="D14" s="230">
        <f>D13/D12</f>
        <v>0.1111111111111111</v>
      </c>
      <c r="E14" s="230">
        <f>E13/E12</f>
        <v>0.17142857142857143</v>
      </c>
      <c r="F14" s="230">
        <f>F13/F12</f>
        <v>0.16463414634146342</v>
      </c>
    </row>
    <row r="15" spans="1:6" x14ac:dyDescent="0.2">
      <c r="A15" s="20" t="s">
        <v>422</v>
      </c>
      <c r="B15" s="20">
        <v>3</v>
      </c>
      <c r="C15" s="20">
        <v>15</v>
      </c>
      <c r="D15" s="20">
        <v>10</v>
      </c>
      <c r="E15" s="20">
        <v>6</v>
      </c>
      <c r="F15" s="20">
        <v>35</v>
      </c>
    </row>
    <row r="16" spans="1:6" x14ac:dyDescent="0.2">
      <c r="A16" s="296" t="s">
        <v>391</v>
      </c>
      <c r="B16" s="20">
        <v>1</v>
      </c>
      <c r="C16" s="20">
        <v>3</v>
      </c>
      <c r="D16" s="20">
        <v>1</v>
      </c>
      <c r="E16" s="20">
        <v>0</v>
      </c>
      <c r="F16" s="20">
        <f>SUM(B16:E16)</f>
        <v>5</v>
      </c>
    </row>
    <row r="17" spans="1:6" x14ac:dyDescent="0.2">
      <c r="A17" s="19" t="s">
        <v>7</v>
      </c>
      <c r="B17" s="230">
        <f>B16/B15</f>
        <v>0.33333333333333331</v>
      </c>
      <c r="C17" s="230">
        <f>C16/C15</f>
        <v>0.2</v>
      </c>
      <c r="D17" s="230">
        <f>D16/D15</f>
        <v>0.1</v>
      </c>
      <c r="E17" s="230">
        <f>E16/E15</f>
        <v>0</v>
      </c>
      <c r="F17" s="230">
        <f>F16/F15</f>
        <v>0.14285714285714285</v>
      </c>
    </row>
    <row r="18" spans="1:6" x14ac:dyDescent="0.2">
      <c r="A18" s="20" t="s">
        <v>424</v>
      </c>
      <c r="B18" s="230"/>
      <c r="C18" s="230"/>
      <c r="D18" s="230"/>
      <c r="E18" s="230"/>
      <c r="F18" s="230"/>
    </row>
    <row r="19" spans="1:6" x14ac:dyDescent="0.2">
      <c r="B19" s="230"/>
      <c r="C19" s="230"/>
      <c r="D19" s="230"/>
      <c r="E19" s="230"/>
      <c r="F19" s="230"/>
    </row>
    <row r="20" spans="1:6" x14ac:dyDescent="0.2">
      <c r="A20" s="20" t="s">
        <v>646</v>
      </c>
    </row>
    <row r="22" spans="1:6" x14ac:dyDescent="0.2">
      <c r="A22" s="68"/>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zoomScaleNormal="100" workbookViewId="0">
      <selection activeCell="A28" sqref="A28"/>
    </sheetView>
  </sheetViews>
  <sheetFormatPr baseColWidth="10" defaultColWidth="9.140625" defaultRowHeight="11.25" x14ac:dyDescent="0.2"/>
  <cols>
    <col min="1" max="1" width="32.28515625" style="20" customWidth="1"/>
    <col min="2" max="16384" width="9.140625" style="20"/>
  </cols>
  <sheetData>
    <row r="1" spans="1:16" x14ac:dyDescent="0.2">
      <c r="A1" s="19" t="s">
        <v>425</v>
      </c>
    </row>
    <row r="2" spans="1:16" x14ac:dyDescent="0.2">
      <c r="A2" s="19"/>
    </row>
    <row r="3" spans="1:16" x14ac:dyDescent="0.2">
      <c r="B3" s="746">
        <v>2018</v>
      </c>
      <c r="C3" s="746"/>
      <c r="D3" s="746"/>
      <c r="E3" s="747"/>
      <c r="F3" s="376">
        <v>2017</v>
      </c>
      <c r="G3" s="376">
        <v>2016</v>
      </c>
      <c r="H3" s="21">
        <v>2015</v>
      </c>
      <c r="I3" s="21">
        <v>2014</v>
      </c>
      <c r="J3" s="21">
        <v>2013</v>
      </c>
      <c r="K3" s="21">
        <v>2012</v>
      </c>
      <c r="L3" s="21">
        <v>2011</v>
      </c>
    </row>
    <row r="4" spans="1:16" ht="22.5" x14ac:dyDescent="0.2">
      <c r="B4" s="377" t="s">
        <v>4</v>
      </c>
      <c r="C4" s="377" t="s">
        <v>5</v>
      </c>
      <c r="D4" s="377" t="s">
        <v>6</v>
      </c>
      <c r="E4" s="378" t="s">
        <v>7</v>
      </c>
      <c r="F4" s="379" t="s">
        <v>7</v>
      </c>
      <c r="G4" s="379" t="s">
        <v>7</v>
      </c>
      <c r="H4" s="379" t="s">
        <v>7</v>
      </c>
      <c r="I4" s="379" t="s">
        <v>7</v>
      </c>
      <c r="J4" s="379" t="s">
        <v>7</v>
      </c>
      <c r="K4" s="379" t="s">
        <v>7</v>
      </c>
      <c r="L4" s="379" t="s">
        <v>7</v>
      </c>
    </row>
    <row r="5" spans="1:16" x14ac:dyDescent="0.2">
      <c r="A5" s="20" t="s">
        <v>426</v>
      </c>
      <c r="B5" s="30">
        <v>24</v>
      </c>
      <c r="C5" s="30">
        <v>36</v>
      </c>
      <c r="D5" s="30">
        <v>56</v>
      </c>
      <c r="E5" s="105">
        <f>B5/D5</f>
        <v>0.42857142857142855</v>
      </c>
      <c r="F5" s="108">
        <v>0.38</v>
      </c>
      <c r="G5" s="108">
        <v>0.38095238095238093</v>
      </c>
      <c r="H5" s="36">
        <v>0.40625</v>
      </c>
      <c r="I5" s="36">
        <v>0.39</v>
      </c>
      <c r="J5" s="36">
        <v>0.41</v>
      </c>
      <c r="K5" s="36">
        <v>0.38</v>
      </c>
      <c r="L5" s="36">
        <v>0.37</v>
      </c>
    </row>
    <row r="6" spans="1:16" x14ac:dyDescent="0.2">
      <c r="A6" s="20" t="s">
        <v>427</v>
      </c>
      <c r="B6" s="30">
        <v>14</v>
      </c>
      <c r="C6" s="30">
        <v>36</v>
      </c>
      <c r="D6" s="30">
        <v>46</v>
      </c>
      <c r="E6" s="105">
        <f>B6/D6</f>
        <v>0.30434782608695654</v>
      </c>
      <c r="F6" s="108">
        <v>0.24</v>
      </c>
      <c r="G6" s="108">
        <v>0.25</v>
      </c>
      <c r="H6" s="36">
        <v>0.25490196078431399</v>
      </c>
      <c r="I6" s="36">
        <v>0.26</v>
      </c>
      <c r="J6" s="36">
        <v>0.27</v>
      </c>
      <c r="K6" s="36">
        <v>0.24</v>
      </c>
      <c r="L6" s="36">
        <v>0.22</v>
      </c>
    </row>
    <row r="7" spans="1:16" x14ac:dyDescent="0.2">
      <c r="A7" s="20" t="s">
        <v>428</v>
      </c>
      <c r="B7" s="30">
        <v>1</v>
      </c>
      <c r="C7" s="30">
        <v>5</v>
      </c>
      <c r="D7" s="30">
        <v>6</v>
      </c>
      <c r="E7" s="105">
        <f>B7/D7</f>
        <v>0.16666666666666666</v>
      </c>
      <c r="F7" s="108">
        <v>0.17</v>
      </c>
      <c r="G7" s="108">
        <v>0.16666666666666666</v>
      </c>
      <c r="H7" s="36">
        <v>0.16666666666666699</v>
      </c>
      <c r="I7" s="36">
        <v>0.5</v>
      </c>
      <c r="J7" s="36">
        <v>0.5</v>
      </c>
      <c r="K7" s="36">
        <v>0.33</v>
      </c>
      <c r="L7" s="36">
        <v>0.5</v>
      </c>
    </row>
    <row r="8" spans="1:16" x14ac:dyDescent="0.2">
      <c r="A8" s="20" t="s">
        <v>429</v>
      </c>
    </row>
    <row r="9" spans="1:16" ht="15" customHeight="1" x14ac:dyDescent="0.2">
      <c r="A9" s="359" t="s">
        <v>430</v>
      </c>
      <c r="B9" s="359"/>
      <c r="C9" s="359"/>
      <c r="D9" s="359"/>
      <c r="E9" s="359"/>
      <c r="F9" s="359"/>
      <c r="G9" s="359"/>
      <c r="H9" s="359"/>
      <c r="I9" s="359"/>
      <c r="J9" s="359"/>
      <c r="K9" s="359"/>
      <c r="L9" s="359"/>
      <c r="M9" s="359"/>
      <c r="N9" s="359"/>
      <c r="O9" s="359"/>
      <c r="P9" s="359"/>
    </row>
    <row r="10" spans="1:16" ht="15" customHeight="1" x14ac:dyDescent="0.2">
      <c r="A10" s="359"/>
      <c r="B10" s="359"/>
      <c r="C10" s="359"/>
      <c r="D10" s="359"/>
      <c r="E10" s="359"/>
      <c r="F10" s="359"/>
      <c r="G10" s="359"/>
      <c r="H10" s="359"/>
      <c r="I10" s="359"/>
      <c r="J10" s="359"/>
      <c r="K10" s="359"/>
      <c r="L10" s="359"/>
      <c r="M10" s="359"/>
      <c r="N10" s="359"/>
      <c r="O10" s="359"/>
      <c r="P10" s="359"/>
    </row>
    <row r="11" spans="1:16" x14ac:dyDescent="0.2">
      <c r="A11" s="20" t="s">
        <v>646</v>
      </c>
    </row>
    <row r="12" spans="1:16" x14ac:dyDescent="0.2">
      <c r="A12" s="234"/>
      <c r="B12" s="234"/>
      <c r="C12" s="234"/>
      <c r="D12" s="234"/>
      <c r="E12" s="234"/>
      <c r="F12" s="234"/>
    </row>
    <row r="13" spans="1:16" x14ac:dyDescent="0.2">
      <c r="A13" s="237"/>
      <c r="B13" s="234"/>
      <c r="C13" s="234"/>
      <c r="D13" s="234"/>
      <c r="E13" s="234"/>
      <c r="F13" s="234"/>
      <c r="G13" s="380"/>
      <c r="H13" s="380"/>
    </row>
    <row r="14" spans="1:16" x14ac:dyDescent="0.2">
      <c r="A14" s="381"/>
      <c r="B14" s="234"/>
      <c r="C14" s="234"/>
      <c r="D14" s="234"/>
      <c r="E14" s="234"/>
      <c r="F14" s="234"/>
      <c r="G14" s="380"/>
      <c r="H14" s="380"/>
    </row>
    <row r="15" spans="1:16" x14ac:dyDescent="0.2">
      <c r="A15" s="381"/>
      <c r="B15" s="234"/>
      <c r="C15" s="234"/>
      <c r="D15" s="234"/>
      <c r="E15" s="234"/>
      <c r="F15" s="234"/>
      <c r="G15" s="380"/>
      <c r="H15" s="380"/>
    </row>
    <row r="16" spans="1:16" x14ac:dyDescent="0.2">
      <c r="A16" s="381"/>
      <c r="B16" s="234"/>
      <c r="C16" s="234"/>
      <c r="D16" s="234"/>
      <c r="E16" s="234"/>
      <c r="F16" s="234"/>
      <c r="G16" s="380"/>
      <c r="H16" s="380"/>
    </row>
    <row r="17" spans="1:7" x14ac:dyDescent="0.2">
      <c r="A17" s="234"/>
      <c r="B17" s="234"/>
      <c r="C17" s="234"/>
      <c r="D17" s="234"/>
      <c r="E17" s="234"/>
      <c r="F17" s="234"/>
    </row>
    <row r="18" spans="1:7" x14ac:dyDescent="0.2">
      <c r="A18" s="381"/>
      <c r="B18" s="234"/>
      <c r="C18" s="234"/>
      <c r="D18" s="234"/>
      <c r="E18" s="234"/>
      <c r="F18" s="234"/>
      <c r="G18" s="381"/>
    </row>
    <row r="19" spans="1:7" x14ac:dyDescent="0.2">
      <c r="A19" s="234"/>
      <c r="B19" s="234"/>
      <c r="C19" s="234"/>
      <c r="D19" s="234"/>
      <c r="E19" s="234"/>
      <c r="F19" s="234"/>
      <c r="G19" s="381"/>
    </row>
    <row r="20" spans="1:7" x14ac:dyDescent="0.2">
      <c r="A20" s="234"/>
      <c r="B20" s="234"/>
      <c r="C20" s="234"/>
      <c r="D20" s="234"/>
      <c r="E20" s="234"/>
      <c r="F20" s="234"/>
      <c r="G20" s="381"/>
    </row>
  </sheetData>
  <mergeCells count="1">
    <mergeCell ref="B3:E3"/>
  </mergeCells>
  <pageMargins left="0.78749999999999998" right="0.78749999999999998" top="1.0249999999999999" bottom="1.0249999999999999" header="0.78749999999999998" footer="0.78749999999999998"/>
  <pageSetup paperSize="9" firstPageNumber="0" orientation="portrait" r:id="rId1"/>
  <headerFooter>
    <oddHeader>&amp;C&amp;"Arial,Normal"&amp;10&amp;A</oddHeader>
    <oddFooter>&amp;C&amp;"Arial,Normal"&amp;10Page &amp;P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100" workbookViewId="0">
      <selection activeCell="E20" sqref="E20:F20"/>
    </sheetView>
  </sheetViews>
  <sheetFormatPr baseColWidth="10" defaultColWidth="9.140625" defaultRowHeight="11.25" x14ac:dyDescent="0.2"/>
  <cols>
    <col min="1" max="1" width="9.140625" style="20"/>
    <col min="2" max="2" width="9.140625" style="20" customWidth="1"/>
    <col min="3" max="16384" width="9.140625" style="20"/>
  </cols>
  <sheetData>
    <row r="1" spans="1:14" x14ac:dyDescent="0.2">
      <c r="A1" s="19" t="s">
        <v>431</v>
      </c>
    </row>
    <row r="2" spans="1:14" x14ac:dyDescent="0.2">
      <c r="A2" s="19"/>
    </row>
    <row r="3" spans="1:14" x14ac:dyDescent="0.2">
      <c r="B3" s="19" t="s">
        <v>432</v>
      </c>
      <c r="C3" s="19" t="s">
        <v>433</v>
      </c>
      <c r="D3" s="19" t="s">
        <v>434</v>
      </c>
      <c r="E3" s="19" t="s">
        <v>435</v>
      </c>
      <c r="F3" s="19" t="s">
        <v>436</v>
      </c>
      <c r="G3" s="19" t="s">
        <v>437</v>
      </c>
      <c r="H3" s="19" t="s">
        <v>438</v>
      </c>
      <c r="I3" s="19" t="s">
        <v>395</v>
      </c>
      <c r="J3" s="19" t="s">
        <v>380</v>
      </c>
      <c r="K3" s="19" t="s">
        <v>381</v>
      </c>
      <c r="L3" s="19" t="s">
        <v>382</v>
      </c>
      <c r="M3" s="19" t="s">
        <v>383</v>
      </c>
      <c r="N3" s="19" t="s">
        <v>6</v>
      </c>
    </row>
    <row r="4" spans="1:14" x14ac:dyDescent="0.2">
      <c r="A4" s="610" t="s">
        <v>439</v>
      </c>
      <c r="B4" s="611"/>
      <c r="C4" s="611"/>
      <c r="D4" s="611"/>
      <c r="E4" s="611"/>
      <c r="F4" s="611"/>
      <c r="G4" s="611"/>
      <c r="H4" s="611"/>
      <c r="I4" s="611"/>
      <c r="J4" s="611"/>
      <c r="K4" s="611"/>
      <c r="L4" s="611"/>
      <c r="M4" s="611"/>
      <c r="N4" s="611"/>
    </row>
    <row r="5" spans="1:14" x14ac:dyDescent="0.2">
      <c r="A5" s="20" t="s">
        <v>5</v>
      </c>
      <c r="B5" s="20">
        <v>11</v>
      </c>
      <c r="C5" s="20">
        <v>15</v>
      </c>
      <c r="D5" s="20">
        <v>22</v>
      </c>
      <c r="E5" s="20">
        <v>34</v>
      </c>
      <c r="F5" s="20">
        <v>26</v>
      </c>
      <c r="G5" s="20">
        <v>39</v>
      </c>
      <c r="H5" s="20">
        <v>44</v>
      </c>
      <c r="I5" s="20">
        <v>67</v>
      </c>
      <c r="J5" s="20">
        <v>71</v>
      </c>
      <c r="K5" s="20">
        <v>90</v>
      </c>
      <c r="L5" s="20">
        <v>96</v>
      </c>
      <c r="M5" s="20">
        <v>73</v>
      </c>
      <c r="N5" s="19">
        <f>SUM(B5:M5)</f>
        <v>588</v>
      </c>
    </row>
    <row r="6" spans="1:14" x14ac:dyDescent="0.2">
      <c r="A6" s="20" t="s">
        <v>4</v>
      </c>
      <c r="B6" s="20">
        <v>2</v>
      </c>
      <c r="C6" s="20">
        <v>4</v>
      </c>
      <c r="D6" s="20">
        <v>2</v>
      </c>
      <c r="E6" s="20">
        <v>6</v>
      </c>
      <c r="F6" s="20">
        <v>9</v>
      </c>
      <c r="G6" s="20">
        <v>8</v>
      </c>
      <c r="H6" s="20">
        <v>16</v>
      </c>
      <c r="I6" s="20">
        <v>18</v>
      </c>
      <c r="J6" s="20">
        <v>22</v>
      </c>
      <c r="K6" s="20">
        <v>32</v>
      </c>
      <c r="L6" s="20">
        <v>32</v>
      </c>
      <c r="M6" s="20">
        <v>50</v>
      </c>
      <c r="N6" s="19">
        <f>SUM(B6:M6)</f>
        <v>201</v>
      </c>
    </row>
    <row r="7" spans="1:14" x14ac:dyDescent="0.2">
      <c r="A7" s="19" t="s">
        <v>6</v>
      </c>
      <c r="B7" s="19">
        <v>13</v>
      </c>
      <c r="C7" s="19">
        <v>17</v>
      </c>
      <c r="D7" s="19">
        <v>24</v>
      </c>
      <c r="E7" s="19">
        <v>40</v>
      </c>
      <c r="F7" s="19">
        <v>35</v>
      </c>
      <c r="G7" s="19">
        <v>47</v>
      </c>
      <c r="H7" s="19">
        <v>60</v>
      </c>
      <c r="I7" s="19">
        <v>85</v>
      </c>
      <c r="J7" s="19">
        <v>93</v>
      </c>
      <c r="K7" s="19">
        <v>122</v>
      </c>
      <c r="L7" s="19">
        <v>128</v>
      </c>
      <c r="M7" s="19">
        <f>M5+M6</f>
        <v>123</v>
      </c>
      <c r="N7" s="19">
        <f>SUM(B7:M7)</f>
        <v>787</v>
      </c>
    </row>
    <row r="8" spans="1:14" x14ac:dyDescent="0.2">
      <c r="A8" s="19" t="s">
        <v>7</v>
      </c>
      <c r="B8" s="230">
        <v>0.15</v>
      </c>
      <c r="C8" s="230">
        <v>0.24</v>
      </c>
      <c r="D8" s="230">
        <v>0.08</v>
      </c>
      <c r="E8" s="230">
        <v>0.15</v>
      </c>
      <c r="F8" s="230">
        <v>0.26</v>
      </c>
      <c r="G8" s="230">
        <v>0.17</v>
      </c>
      <c r="H8" s="230">
        <v>0.27</v>
      </c>
      <c r="I8" s="230">
        <v>0.21</v>
      </c>
      <c r="J8" s="230">
        <v>0.24</v>
      </c>
      <c r="K8" s="230">
        <v>0.26</v>
      </c>
      <c r="L8" s="230">
        <v>0.25</v>
      </c>
      <c r="M8" s="230">
        <f>M6/M7</f>
        <v>0.4065040650406504</v>
      </c>
      <c r="N8" s="230">
        <f>N6/N7</f>
        <v>0.2554002541296061</v>
      </c>
    </row>
    <row r="9" spans="1:14" x14ac:dyDescent="0.2">
      <c r="A9" s="20" t="s">
        <v>440</v>
      </c>
      <c r="B9" s="230"/>
      <c r="C9" s="230"/>
      <c r="D9" s="230"/>
      <c r="E9" s="230"/>
      <c r="F9" s="230"/>
      <c r="G9" s="230"/>
      <c r="H9" s="230"/>
      <c r="I9" s="230"/>
      <c r="J9" s="230"/>
      <c r="K9" s="230"/>
      <c r="L9" s="230"/>
      <c r="M9" s="230"/>
      <c r="N9" s="230"/>
    </row>
    <row r="10" spans="1:14" x14ac:dyDescent="0.2">
      <c r="B10" s="230"/>
      <c r="C10" s="230"/>
      <c r="D10" s="230"/>
      <c r="E10" s="230"/>
      <c r="F10" s="230"/>
      <c r="G10" s="230"/>
      <c r="H10" s="230"/>
      <c r="I10" s="230"/>
      <c r="J10" s="230"/>
      <c r="K10" s="230"/>
      <c r="L10" s="230"/>
      <c r="M10" s="230"/>
      <c r="N10" s="230"/>
    </row>
    <row r="11" spans="1:14" x14ac:dyDescent="0.2">
      <c r="A11" s="20" t="s">
        <v>646</v>
      </c>
    </row>
    <row r="13" spans="1:14" x14ac:dyDescent="0.2">
      <c r="A13" s="237"/>
      <c r="B13" s="234"/>
      <c r="C13" s="234"/>
      <c r="D13" s="234"/>
      <c r="E13" s="234"/>
      <c r="F13" s="234"/>
      <c r="G13" s="234"/>
      <c r="H13" s="234"/>
    </row>
    <row r="14" spans="1:14" x14ac:dyDescent="0.2">
      <c r="A14" s="234"/>
      <c r="B14" s="234"/>
      <c r="C14" s="234"/>
      <c r="D14" s="234"/>
      <c r="E14" s="234"/>
      <c r="F14" s="234"/>
      <c r="G14" s="234"/>
      <c r="H14" s="234"/>
    </row>
    <row r="15" spans="1:14" x14ac:dyDescent="0.2">
      <c r="A15" s="234"/>
      <c r="B15" s="234"/>
      <c r="C15" s="234"/>
      <c r="D15" s="234"/>
      <c r="E15" s="234"/>
      <c r="F15" s="234"/>
      <c r="G15" s="234"/>
      <c r="H15" s="234"/>
    </row>
    <row r="16" spans="1:14" x14ac:dyDescent="0.2">
      <c r="A16" s="234"/>
      <c r="B16" s="234"/>
      <c r="C16" s="234"/>
      <c r="D16" s="234"/>
      <c r="E16" s="234"/>
      <c r="F16" s="234"/>
      <c r="G16" s="234"/>
      <c r="H16" s="234"/>
    </row>
    <row r="17" spans="1:8" x14ac:dyDescent="0.2">
      <c r="A17" s="234"/>
      <c r="B17" s="234"/>
      <c r="C17" s="234"/>
      <c r="D17" s="234"/>
      <c r="E17" s="234"/>
      <c r="F17" s="234"/>
      <c r="G17" s="234"/>
      <c r="H17" s="234"/>
    </row>
    <row r="18" spans="1:8" x14ac:dyDescent="0.2">
      <c r="A18" s="234"/>
      <c r="B18" s="234"/>
      <c r="C18" s="234"/>
      <c r="D18" s="234"/>
      <c r="E18" s="234"/>
      <c r="F18" s="234"/>
      <c r="G18" s="234"/>
      <c r="H18" s="234"/>
    </row>
    <row r="19" spans="1:8" x14ac:dyDescent="0.2">
      <c r="A19" s="234"/>
      <c r="B19" s="234"/>
      <c r="C19" s="234"/>
      <c r="D19" s="234"/>
      <c r="E19" s="234"/>
      <c r="F19" s="234"/>
      <c r="G19" s="234"/>
      <c r="H19" s="234"/>
    </row>
    <row r="20" spans="1:8" x14ac:dyDescent="0.2">
      <c r="A20" s="234"/>
      <c r="B20" s="234"/>
      <c r="C20" s="234"/>
      <c r="D20" s="234"/>
      <c r="E20" s="234"/>
      <c r="F20" s="234"/>
      <c r="G20" s="234"/>
      <c r="H20" s="234"/>
    </row>
    <row r="21" spans="1:8" x14ac:dyDescent="0.2">
      <c r="A21" s="234"/>
      <c r="B21" s="234"/>
      <c r="C21" s="234"/>
      <c r="D21" s="234"/>
      <c r="E21" s="234"/>
      <c r="F21" s="234"/>
      <c r="G21" s="234"/>
      <c r="H21" s="234"/>
    </row>
    <row r="22" spans="1:8" x14ac:dyDescent="0.2">
      <c r="A22" s="234"/>
      <c r="B22" s="234"/>
      <c r="C22" s="234"/>
      <c r="D22" s="234"/>
      <c r="E22" s="234"/>
      <c r="F22" s="234"/>
      <c r="G22" s="234"/>
      <c r="H22" s="234"/>
    </row>
    <row r="23" spans="1:8" x14ac:dyDescent="0.2">
      <c r="A23" s="234"/>
      <c r="B23" s="234"/>
      <c r="C23" s="234"/>
      <c r="D23" s="234"/>
      <c r="E23" s="234"/>
      <c r="F23" s="234"/>
      <c r="G23" s="234"/>
      <c r="H23" s="234"/>
    </row>
    <row r="24" spans="1:8" x14ac:dyDescent="0.2">
      <c r="A24" s="234"/>
      <c r="B24" s="234"/>
      <c r="C24" s="234"/>
      <c r="D24" s="234"/>
      <c r="E24" s="234"/>
      <c r="F24" s="234"/>
      <c r="G24" s="234"/>
      <c r="H24" s="234"/>
    </row>
    <row r="25" spans="1:8" x14ac:dyDescent="0.2">
      <c r="A25" s="234"/>
      <c r="B25" s="234"/>
      <c r="C25" s="234"/>
      <c r="D25" s="234"/>
      <c r="E25" s="234"/>
      <c r="F25" s="234"/>
      <c r="G25" s="234"/>
      <c r="H25" s="234"/>
    </row>
    <row r="26" spans="1:8" x14ac:dyDescent="0.2">
      <c r="A26" s="234"/>
    </row>
  </sheetData>
  <pageMargins left="0.78749999999999998" right="0.78749999999999998" top="1.0249999999999999" bottom="1.0249999999999999" header="0.78749999999999998" footer="0.78749999999999998"/>
  <pageSetup paperSize="9" firstPageNumber="0" orientation="portrait" verticalDpi="0" r:id="rId1"/>
  <headerFooter>
    <oddHeader>&amp;C&amp;"Arial,Normal"&amp;10&amp;A</oddHeader>
    <oddFooter>&amp;C&amp;"Arial,Normal"&amp;10Page &amp;P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Normal="100" workbookViewId="0">
      <selection activeCell="A2" sqref="A2"/>
    </sheetView>
  </sheetViews>
  <sheetFormatPr baseColWidth="10" defaultColWidth="9.140625" defaultRowHeight="11.25" x14ac:dyDescent="0.2"/>
  <cols>
    <col min="1" max="16384" width="9.140625" style="20"/>
  </cols>
  <sheetData>
    <row r="1" spans="1:13" x14ac:dyDescent="0.2">
      <c r="A1" s="19" t="s">
        <v>442</v>
      </c>
    </row>
    <row r="2" spans="1:13" x14ac:dyDescent="0.2">
      <c r="A2" s="19"/>
    </row>
    <row r="3" spans="1:13" x14ac:dyDescent="0.2">
      <c r="A3" s="19"/>
      <c r="B3" s="691" t="s">
        <v>443</v>
      </c>
      <c r="C3" s="691"/>
      <c r="D3" s="691"/>
      <c r="E3" s="691"/>
      <c r="F3" s="691" t="s">
        <v>444</v>
      </c>
      <c r="G3" s="691"/>
      <c r="H3" s="691"/>
      <c r="I3" s="691"/>
      <c r="J3" s="691" t="s">
        <v>445</v>
      </c>
      <c r="K3" s="691"/>
      <c r="L3" s="691"/>
      <c r="M3" s="691"/>
    </row>
    <row r="4" spans="1:13" x14ac:dyDescent="0.2">
      <c r="B4" s="19" t="s">
        <v>4</v>
      </c>
      <c r="C4" s="19" t="s">
        <v>5</v>
      </c>
      <c r="D4" s="27" t="s">
        <v>6</v>
      </c>
      <c r="E4" s="204" t="s">
        <v>7</v>
      </c>
      <c r="F4" s="19" t="s">
        <v>4</v>
      </c>
      <c r="G4" s="19" t="s">
        <v>5</v>
      </c>
      <c r="H4" s="204" t="s">
        <v>6</v>
      </c>
      <c r="I4" s="19" t="s">
        <v>7</v>
      </c>
      <c r="J4" s="19" t="s">
        <v>4</v>
      </c>
      <c r="K4" s="19" t="s">
        <v>5</v>
      </c>
      <c r="L4" s="27" t="s">
        <v>6</v>
      </c>
      <c r="M4" s="204" t="s">
        <v>7</v>
      </c>
    </row>
    <row r="5" spans="1:13" x14ac:dyDescent="0.2">
      <c r="A5" s="20">
        <v>2014</v>
      </c>
      <c r="B5" s="20">
        <v>269</v>
      </c>
      <c r="C5" s="20">
        <v>374</v>
      </c>
      <c r="D5" s="30">
        <v>643</v>
      </c>
      <c r="E5" s="105">
        <v>0.418351477449456</v>
      </c>
      <c r="F5" s="20">
        <v>69</v>
      </c>
      <c r="G5" s="20">
        <v>104</v>
      </c>
      <c r="H5" s="23">
        <v>173</v>
      </c>
      <c r="I5" s="230">
        <v>0.39884393063583801</v>
      </c>
      <c r="J5" s="20">
        <v>15</v>
      </c>
      <c r="K5" s="20">
        <v>60</v>
      </c>
      <c r="L5" s="30">
        <v>75</v>
      </c>
      <c r="M5" s="105">
        <v>0.2</v>
      </c>
    </row>
    <row r="6" spans="1:13" x14ac:dyDescent="0.2">
      <c r="A6" s="20">
        <v>2015</v>
      </c>
      <c r="B6" s="20">
        <v>258</v>
      </c>
      <c r="C6" s="20">
        <v>376</v>
      </c>
      <c r="D6" s="30">
        <v>634</v>
      </c>
      <c r="E6" s="105">
        <v>0.40694006309148301</v>
      </c>
      <c r="F6" s="20">
        <v>58</v>
      </c>
      <c r="G6" s="20">
        <v>124</v>
      </c>
      <c r="H6" s="23">
        <v>182</v>
      </c>
      <c r="I6" s="230">
        <v>0.31868131868131899</v>
      </c>
      <c r="J6" s="20">
        <v>15</v>
      </c>
      <c r="K6" s="20">
        <v>34</v>
      </c>
      <c r="L6" s="30">
        <v>49</v>
      </c>
      <c r="M6" s="105">
        <v>0.30612244897959201</v>
      </c>
    </row>
    <row r="7" spans="1:13" x14ac:dyDescent="0.2">
      <c r="A7" s="20">
        <v>2016</v>
      </c>
      <c r="B7" s="20">
        <v>273</v>
      </c>
      <c r="C7" s="20">
        <v>315</v>
      </c>
      <c r="D7" s="30">
        <v>588</v>
      </c>
      <c r="E7" s="105">
        <v>0.46428571428571402</v>
      </c>
      <c r="F7" s="20">
        <v>68</v>
      </c>
      <c r="G7" s="20">
        <v>107</v>
      </c>
      <c r="H7" s="23">
        <v>175</v>
      </c>
      <c r="I7" s="230">
        <v>0.38857142857142901</v>
      </c>
      <c r="J7" s="20">
        <v>27</v>
      </c>
      <c r="K7" s="20">
        <v>43</v>
      </c>
      <c r="L7" s="30">
        <v>70</v>
      </c>
      <c r="M7" s="105">
        <v>0.38571428571428601</v>
      </c>
    </row>
    <row r="8" spans="1:13" x14ac:dyDescent="0.2">
      <c r="A8" s="20">
        <v>2017</v>
      </c>
      <c r="B8" s="20">
        <f>95+86</f>
        <v>181</v>
      </c>
      <c r="C8" s="20">
        <f>139+72</f>
        <v>211</v>
      </c>
      <c r="D8" s="30">
        <f>B8+C8</f>
        <v>392</v>
      </c>
      <c r="E8" s="105">
        <f>B8/D8</f>
        <v>0.46173469387755101</v>
      </c>
      <c r="F8" s="20">
        <f>29+24</f>
        <v>53</v>
      </c>
      <c r="G8" s="20">
        <f>37+25</f>
        <v>62</v>
      </c>
      <c r="H8" s="23">
        <f>F8+G8</f>
        <v>115</v>
      </c>
      <c r="I8" s="230">
        <f>F8/H8</f>
        <v>0.46086956521739131</v>
      </c>
      <c r="J8" s="20">
        <f>10+4</f>
        <v>14</v>
      </c>
      <c r="K8" s="20">
        <f>14+15</f>
        <v>29</v>
      </c>
      <c r="L8" s="30">
        <f>K8+J8</f>
        <v>43</v>
      </c>
      <c r="M8" s="105">
        <f>J8/L8</f>
        <v>0.32558139534883723</v>
      </c>
    </row>
    <row r="9" spans="1:13" x14ac:dyDescent="0.2">
      <c r="A9" s="20">
        <v>2018</v>
      </c>
      <c r="B9" s="20">
        <v>145</v>
      </c>
      <c r="C9" s="20">
        <v>158</v>
      </c>
      <c r="D9" s="30">
        <f>B9+C9</f>
        <v>303</v>
      </c>
      <c r="E9" s="105">
        <f>B9/D9</f>
        <v>0.47854785478547857</v>
      </c>
      <c r="F9" s="20">
        <v>19</v>
      </c>
      <c r="G9" s="20">
        <v>40</v>
      </c>
      <c r="H9" s="23">
        <f>F9+G9</f>
        <v>59</v>
      </c>
      <c r="I9" s="230">
        <f>F9/H9</f>
        <v>0.32203389830508472</v>
      </c>
      <c r="J9" s="20">
        <v>12</v>
      </c>
      <c r="K9" s="20">
        <v>21</v>
      </c>
      <c r="L9" s="30">
        <f>J9+K9</f>
        <v>33</v>
      </c>
      <c r="M9" s="105">
        <f>J9/L9</f>
        <v>0.36363636363636365</v>
      </c>
    </row>
    <row r="10" spans="1:13" x14ac:dyDescent="0.2">
      <c r="E10" s="230"/>
      <c r="I10" s="230"/>
      <c r="M10" s="230"/>
    </row>
    <row r="11" spans="1:13" x14ac:dyDescent="0.2">
      <c r="A11" s="20" t="s">
        <v>446</v>
      </c>
    </row>
  </sheetData>
  <mergeCells count="3">
    <mergeCell ref="B3:E3"/>
    <mergeCell ref="F3:I3"/>
    <mergeCell ref="J3:M3"/>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Normal="100" workbookViewId="0">
      <selection activeCell="H1" sqref="H1"/>
    </sheetView>
  </sheetViews>
  <sheetFormatPr baseColWidth="10" defaultColWidth="9.140625" defaultRowHeight="11.25" x14ac:dyDescent="0.2"/>
  <cols>
    <col min="1" max="1" width="36.5703125" style="20" customWidth="1"/>
    <col min="2" max="2" width="11.85546875" style="20" customWidth="1"/>
    <col min="3" max="3" width="12" style="20" customWidth="1"/>
    <col min="4" max="4" width="11.28515625" style="20" customWidth="1"/>
    <col min="5" max="10" width="9.140625" style="20" customWidth="1"/>
    <col min="11" max="11" width="10.28515625" style="20" customWidth="1"/>
    <col min="12" max="12" width="11" style="20" customWidth="1"/>
    <col min="13" max="13" width="9.140625" style="20" customWidth="1"/>
    <col min="14" max="14" width="21.42578125" style="20" bestFit="1" customWidth="1"/>
    <col min="15" max="15" width="16.28515625" style="20" bestFit="1" customWidth="1"/>
    <col min="16" max="16384" width="9.140625" style="20"/>
  </cols>
  <sheetData>
    <row r="1" spans="1:17" ht="15" x14ac:dyDescent="0.25">
      <c r="A1" s="19" t="s">
        <v>118</v>
      </c>
      <c r="H1" s="614"/>
    </row>
    <row r="2" spans="1:17" ht="15" x14ac:dyDescent="0.25">
      <c r="A2" s="19"/>
      <c r="H2" s="614"/>
    </row>
    <row r="3" spans="1:17" x14ac:dyDescent="0.2">
      <c r="B3" s="760"/>
      <c r="C3" s="760"/>
      <c r="D3" s="760"/>
      <c r="E3" s="760"/>
      <c r="F3" s="760"/>
      <c r="G3" s="760"/>
      <c r="H3" s="760"/>
      <c r="I3" s="760"/>
      <c r="J3" s="760"/>
      <c r="K3" s="382"/>
      <c r="L3" s="383"/>
      <c r="M3" s="383"/>
      <c r="N3" s="383" t="s">
        <v>119</v>
      </c>
      <c r="O3" s="384" t="s">
        <v>120</v>
      </c>
    </row>
    <row r="4" spans="1:17" x14ac:dyDescent="0.2">
      <c r="A4" s="385"/>
      <c r="B4" s="386" t="s">
        <v>121</v>
      </c>
      <c r="C4" s="386" t="s">
        <v>122</v>
      </c>
      <c r="D4" s="386" t="s">
        <v>123</v>
      </c>
      <c r="E4" s="386" t="s">
        <v>124</v>
      </c>
      <c r="F4" s="386" t="s">
        <v>125</v>
      </c>
      <c r="G4" s="386" t="s">
        <v>126</v>
      </c>
      <c r="H4" s="386" t="s">
        <v>127</v>
      </c>
      <c r="I4" s="383" t="s">
        <v>128</v>
      </c>
      <c r="J4" s="383" t="s">
        <v>129</v>
      </c>
      <c r="K4" s="383" t="s">
        <v>130</v>
      </c>
      <c r="L4" s="387" t="s">
        <v>131</v>
      </c>
      <c r="M4" s="387" t="s">
        <v>132</v>
      </c>
      <c r="N4" s="387" t="s">
        <v>132</v>
      </c>
      <c r="O4" s="387" t="s">
        <v>132</v>
      </c>
      <c r="Q4" s="387"/>
    </row>
    <row r="5" spans="1:17" x14ac:dyDescent="0.2">
      <c r="A5" s="385" t="s">
        <v>133</v>
      </c>
      <c r="B5" s="388">
        <v>0.63</v>
      </c>
      <c r="C5" s="388">
        <v>0.63</v>
      </c>
      <c r="D5" s="388">
        <v>0.64</v>
      </c>
      <c r="E5" s="388">
        <v>0.64</v>
      </c>
      <c r="F5" s="388">
        <v>0.64</v>
      </c>
      <c r="G5" s="388">
        <v>0.63</v>
      </c>
      <c r="H5" s="388">
        <v>0.64</v>
      </c>
      <c r="I5" s="389">
        <v>0.65</v>
      </c>
      <c r="J5" s="389">
        <v>0.64</v>
      </c>
      <c r="K5" s="389">
        <v>0.64</v>
      </c>
      <c r="L5" s="389">
        <v>0.65</v>
      </c>
      <c r="M5" s="389">
        <v>0.65501986276634161</v>
      </c>
      <c r="N5" s="20">
        <v>11076</v>
      </c>
      <c r="O5" s="390">
        <v>44</v>
      </c>
    </row>
    <row r="6" spans="1:17" x14ac:dyDescent="0.2">
      <c r="A6" s="385" t="s">
        <v>134</v>
      </c>
      <c r="B6" s="298">
        <v>0.51</v>
      </c>
      <c r="C6" s="298">
        <v>0.54</v>
      </c>
      <c r="D6" s="298">
        <v>0.55000000000000004</v>
      </c>
      <c r="E6" s="298">
        <v>0.55000000000000004</v>
      </c>
      <c r="F6" s="298">
        <v>0.56000000000000005</v>
      </c>
      <c r="G6" s="298">
        <v>0.56999999999999995</v>
      </c>
      <c r="H6" s="298">
        <v>0.56000000000000005</v>
      </c>
      <c r="I6" s="391">
        <v>0.56999999999999995</v>
      </c>
      <c r="J6" s="391">
        <v>0.56999999999999995</v>
      </c>
      <c r="K6" s="391">
        <v>0.56999999999999995</v>
      </c>
      <c r="L6" s="391">
        <v>0.57999999999999996</v>
      </c>
      <c r="M6" s="391">
        <v>0.58899999999999997</v>
      </c>
      <c r="N6" s="20">
        <v>17804</v>
      </c>
      <c r="O6" s="390">
        <v>20</v>
      </c>
    </row>
    <row r="7" spans="1:17" x14ac:dyDescent="0.2">
      <c r="A7" s="385" t="s">
        <v>135</v>
      </c>
      <c r="B7" s="298">
        <v>0.55000000000000004</v>
      </c>
      <c r="C7" s="298">
        <v>0.53</v>
      </c>
      <c r="D7" s="298">
        <v>0.53</v>
      </c>
      <c r="E7" s="298">
        <v>0.53</v>
      </c>
      <c r="F7" s="298">
        <v>0.53</v>
      </c>
      <c r="G7" s="298">
        <v>0.56000000000000005</v>
      </c>
      <c r="H7" s="298">
        <v>0.55000000000000004</v>
      </c>
      <c r="I7" s="391">
        <v>0.49</v>
      </c>
      <c r="J7" s="391">
        <v>0.52</v>
      </c>
      <c r="K7" s="391">
        <v>0.5</v>
      </c>
      <c r="L7" s="391">
        <v>0.48</v>
      </c>
      <c r="M7" s="391">
        <v>0.46601146601146604</v>
      </c>
      <c r="N7" s="20">
        <v>3663</v>
      </c>
      <c r="O7" s="390">
        <v>33</v>
      </c>
    </row>
    <row r="8" spans="1:17" x14ac:dyDescent="0.2">
      <c r="A8" s="385" t="s">
        <v>136</v>
      </c>
      <c r="B8" s="298">
        <v>0.8</v>
      </c>
      <c r="C8" s="298">
        <v>0.79</v>
      </c>
      <c r="D8" s="298">
        <v>0.8</v>
      </c>
      <c r="E8" s="298">
        <v>0.8</v>
      </c>
      <c r="F8" s="298">
        <v>0.8</v>
      </c>
      <c r="G8" s="298">
        <v>0.8</v>
      </c>
      <c r="H8" s="298">
        <v>0.81</v>
      </c>
      <c r="I8" s="391">
        <v>0.82</v>
      </c>
      <c r="J8" s="391">
        <v>0.8</v>
      </c>
      <c r="K8" s="391">
        <v>0.8</v>
      </c>
      <c r="L8" s="391">
        <v>0.8</v>
      </c>
      <c r="M8" s="391">
        <v>0.80607476635514019</v>
      </c>
      <c r="N8" s="20">
        <v>1712</v>
      </c>
      <c r="O8" s="390">
        <v>2</v>
      </c>
    </row>
    <row r="9" spans="1:17" x14ac:dyDescent="0.2">
      <c r="A9" s="385" t="s">
        <v>137</v>
      </c>
      <c r="B9" s="298">
        <v>0.43</v>
      </c>
      <c r="C9" s="298">
        <v>0.48</v>
      </c>
      <c r="D9" s="298">
        <v>0.5</v>
      </c>
      <c r="E9" s="298">
        <v>0.51</v>
      </c>
      <c r="F9" s="298">
        <v>0.54</v>
      </c>
      <c r="G9" s="298">
        <v>0.54</v>
      </c>
      <c r="H9" s="298">
        <v>0.56000000000000005</v>
      </c>
      <c r="I9" s="391">
        <v>0.61</v>
      </c>
      <c r="J9" s="391">
        <v>0.57999999999999996</v>
      </c>
      <c r="K9" s="391">
        <v>0.55000000000000004</v>
      </c>
      <c r="L9" s="391">
        <v>0.56000000000000005</v>
      </c>
      <c r="M9" s="391">
        <v>0.50545454545454549</v>
      </c>
      <c r="N9" s="20">
        <v>275</v>
      </c>
      <c r="O9" s="390">
        <v>2</v>
      </c>
    </row>
    <row r="10" spans="1:17" x14ac:dyDescent="0.2">
      <c r="A10" s="392" t="s">
        <v>138</v>
      </c>
      <c r="B10" s="230">
        <v>0.56000000000000005</v>
      </c>
      <c r="C10" s="230">
        <v>0.57999999999999996</v>
      </c>
      <c r="D10" s="230">
        <v>0.59</v>
      </c>
      <c r="E10" s="230">
        <v>0.59</v>
      </c>
      <c r="F10" s="230">
        <v>0.59</v>
      </c>
      <c r="G10" s="230">
        <v>0.59</v>
      </c>
      <c r="H10" s="230">
        <v>0.6</v>
      </c>
      <c r="I10" s="393">
        <v>0.6</v>
      </c>
      <c r="J10" s="393">
        <v>0.6</v>
      </c>
      <c r="K10" s="393">
        <v>0.6</v>
      </c>
      <c r="L10" s="393">
        <v>0.6</v>
      </c>
      <c r="M10" s="391">
        <v>0.6072980017376195</v>
      </c>
      <c r="N10" s="20">
        <v>34530</v>
      </c>
      <c r="O10" s="394" t="s">
        <v>139</v>
      </c>
    </row>
    <row r="11" spans="1:17" x14ac:dyDescent="0.2">
      <c r="A11" s="395" t="s">
        <v>140</v>
      </c>
      <c r="B11" s="396">
        <v>0.56000000000000005</v>
      </c>
      <c r="C11" s="396">
        <v>0.56000000000000005</v>
      </c>
      <c r="D11" s="396">
        <v>0.56000000000000005</v>
      </c>
      <c r="E11" s="396">
        <v>0.56000000000000005</v>
      </c>
      <c r="F11" s="396">
        <v>0.56000000000000005</v>
      </c>
      <c r="G11" s="396">
        <v>0.56000000000000005</v>
      </c>
      <c r="H11" s="396">
        <v>0.55000000000000004</v>
      </c>
      <c r="I11" s="397">
        <v>0.55000000000000004</v>
      </c>
      <c r="J11" s="397">
        <v>0.55000000000000004</v>
      </c>
      <c r="K11" s="397">
        <v>0.55000000000000004</v>
      </c>
      <c r="L11" s="397">
        <v>0.55000000000000004</v>
      </c>
      <c r="M11" s="397">
        <v>0.55000000000000004</v>
      </c>
      <c r="N11" s="398">
        <v>2680400</v>
      </c>
    </row>
    <row r="12" spans="1:17" x14ac:dyDescent="0.2">
      <c r="A12" s="20" t="s">
        <v>141</v>
      </c>
    </row>
    <row r="13" spans="1:17" x14ac:dyDescent="0.2">
      <c r="A13" s="399" t="s">
        <v>142</v>
      </c>
    </row>
    <row r="14" spans="1:17" x14ac:dyDescent="0.2">
      <c r="A14" s="399"/>
    </row>
    <row r="15" spans="1:17" x14ac:dyDescent="0.2">
      <c r="A15" s="20" t="s">
        <v>647</v>
      </c>
    </row>
    <row r="18" spans="1:1" x14ac:dyDescent="0.2">
      <c r="A18" s="68"/>
    </row>
  </sheetData>
  <mergeCells count="1">
    <mergeCell ref="B3:J3"/>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workbookViewId="0">
      <selection activeCell="A36" sqref="A36"/>
    </sheetView>
  </sheetViews>
  <sheetFormatPr baseColWidth="10" defaultColWidth="9.140625" defaultRowHeight="11.25" x14ac:dyDescent="0.2"/>
  <cols>
    <col min="1" max="1" width="39.7109375" style="20" customWidth="1"/>
    <col min="2" max="4" width="10.7109375" style="20" bestFit="1" customWidth="1"/>
    <col min="5" max="5" width="16.5703125" style="20" customWidth="1"/>
    <col min="6" max="6" width="18.140625" style="20" customWidth="1"/>
    <col min="7" max="16384" width="9.140625" style="20"/>
  </cols>
  <sheetData>
    <row r="1" spans="1:10" x14ac:dyDescent="0.2">
      <c r="A1" s="19" t="s">
        <v>236</v>
      </c>
    </row>
    <row r="2" spans="1:10" x14ac:dyDescent="0.2">
      <c r="A2" s="19"/>
    </row>
    <row r="3" spans="1:10" ht="22.5" x14ac:dyDescent="0.2">
      <c r="A3" s="19"/>
      <c r="B3" s="19" t="s">
        <v>4</v>
      </c>
      <c r="C3" s="19" t="s">
        <v>5</v>
      </c>
      <c r="D3" s="19" t="s">
        <v>6</v>
      </c>
      <c r="E3" s="121" t="s">
        <v>237</v>
      </c>
      <c r="F3" s="121" t="s">
        <v>238</v>
      </c>
      <c r="G3" s="49"/>
    </row>
    <row r="4" spans="1:10" x14ac:dyDescent="0.2">
      <c r="A4" s="400" t="s">
        <v>239</v>
      </c>
      <c r="B4" s="761"/>
      <c r="C4" s="761"/>
      <c r="D4" s="400"/>
      <c r="E4" s="400"/>
      <c r="F4" s="400"/>
      <c r="G4" s="19"/>
      <c r="H4" s="19"/>
      <c r="I4" s="19"/>
    </row>
    <row r="5" spans="1:10" x14ac:dyDescent="0.2">
      <c r="A5" s="20" t="s">
        <v>240</v>
      </c>
      <c r="B5" s="401">
        <v>1452.9999999999982</v>
      </c>
      <c r="C5" s="401">
        <v>1896.9999999999959</v>
      </c>
      <c r="D5" s="402">
        <f>B5+C5</f>
        <v>3349.9999999999941</v>
      </c>
      <c r="E5" s="229">
        <f>B5/D5</f>
        <v>0.43373134328358232</v>
      </c>
      <c r="F5" s="229">
        <v>0.40166284403669733</v>
      </c>
      <c r="G5" s="121"/>
      <c r="H5" s="121"/>
      <c r="I5" s="121"/>
    </row>
    <row r="6" spans="1:10" x14ac:dyDescent="0.2">
      <c r="A6" s="20" t="s">
        <v>241</v>
      </c>
      <c r="B6" s="401">
        <v>2952.0000000000036</v>
      </c>
      <c r="C6" s="401">
        <v>1954.9999999999989</v>
      </c>
      <c r="D6" s="402">
        <f>B6+C6</f>
        <v>4907.0000000000027</v>
      </c>
      <c r="E6" s="229">
        <f>B6/D6</f>
        <v>0.60158956592622825</v>
      </c>
      <c r="F6" s="229">
        <v>0.25954011741682881</v>
      </c>
      <c r="G6" s="298"/>
      <c r="H6" s="298"/>
      <c r="I6" s="298"/>
      <c r="J6" s="298"/>
    </row>
    <row r="7" spans="1:10" x14ac:dyDescent="0.2">
      <c r="A7" s="20" t="s">
        <v>242</v>
      </c>
      <c r="B7" s="401">
        <v>288</v>
      </c>
      <c r="C7" s="401">
        <v>1131.9999999999998</v>
      </c>
      <c r="D7" s="402">
        <f>B7+C7</f>
        <v>1419.9999999999998</v>
      </c>
      <c r="E7" s="229">
        <f>B7/D7</f>
        <v>0.20281690140845074</v>
      </c>
      <c r="F7" s="229">
        <v>0.61093311974369269</v>
      </c>
      <c r="G7" s="298"/>
      <c r="H7" s="298"/>
      <c r="I7" s="298"/>
      <c r="J7" s="298"/>
    </row>
    <row r="8" spans="1:10" x14ac:dyDescent="0.2">
      <c r="A8" s="20" t="s">
        <v>243</v>
      </c>
      <c r="B8" s="401">
        <v>1016.0000000000013</v>
      </c>
      <c r="C8" s="401">
        <v>2908.000000000015</v>
      </c>
      <c r="D8" s="402">
        <f>B8+C8</f>
        <v>3924.0000000000164</v>
      </c>
      <c r="E8" s="229">
        <f>B8/D8</f>
        <v>0.25891946992864345</v>
      </c>
      <c r="F8" s="229">
        <v>0.18673883626522325</v>
      </c>
      <c r="G8" s="298"/>
      <c r="H8" s="298"/>
      <c r="I8" s="298"/>
      <c r="J8" s="298"/>
    </row>
    <row r="9" spans="1:10" x14ac:dyDescent="0.2">
      <c r="A9" s="403" t="s">
        <v>6</v>
      </c>
      <c r="B9" s="404">
        <f>SUM(B5:B8)</f>
        <v>5709.0000000000027</v>
      </c>
      <c r="C9" s="404">
        <f>SUM(C5:C8)</f>
        <v>7892.0000000000091</v>
      </c>
      <c r="D9" s="404">
        <f>SUM(D5:D8)</f>
        <v>13601.000000000013</v>
      </c>
      <c r="E9" s="405">
        <f>B9/D9</f>
        <v>0.41974854790088945</v>
      </c>
      <c r="F9" s="405">
        <v>0.4120871298405463</v>
      </c>
      <c r="G9" s="298"/>
      <c r="H9" s="298"/>
      <c r="I9" s="298"/>
      <c r="J9" s="298"/>
    </row>
    <row r="10" spans="1:10" x14ac:dyDescent="0.2">
      <c r="A10" s="400" t="s">
        <v>244</v>
      </c>
      <c r="B10" s="406"/>
      <c r="C10" s="407"/>
      <c r="D10" s="407"/>
      <c r="E10" s="407"/>
      <c r="F10" s="407"/>
      <c r="G10" s="230"/>
      <c r="H10" s="230"/>
      <c r="I10" s="230"/>
    </row>
    <row r="11" spans="1:10" x14ac:dyDescent="0.2">
      <c r="A11" s="20" t="s">
        <v>135</v>
      </c>
      <c r="B11" s="401">
        <v>6530.9999999998226</v>
      </c>
      <c r="C11" s="401">
        <v>5535.99999999989</v>
      </c>
      <c r="D11" s="402">
        <f>B11+C11</f>
        <v>12066.999999999713</v>
      </c>
      <c r="E11" s="229">
        <f>B11/D11</f>
        <v>0.54122814286897969</v>
      </c>
      <c r="F11" s="229">
        <v>0.54696880020292205</v>
      </c>
    </row>
    <row r="12" spans="1:10" x14ac:dyDescent="0.2">
      <c r="A12" s="20" t="s">
        <v>245</v>
      </c>
      <c r="B12" s="401">
        <v>8623.9999999999091</v>
      </c>
      <c r="C12" s="401">
        <v>9627.9999999998836</v>
      </c>
      <c r="D12" s="402">
        <f t="shared" ref="D12:D21" si="0">B12+C12</f>
        <v>18251.999999999793</v>
      </c>
      <c r="E12" s="229">
        <f t="shared" ref="E12:E33" si="1">B12/D12</f>
        <v>0.47249616480385748</v>
      </c>
      <c r="F12" s="229">
        <v>0.4591748568959832</v>
      </c>
    </row>
    <row r="13" spans="1:10" x14ac:dyDescent="0.2">
      <c r="A13" s="408" t="s">
        <v>246</v>
      </c>
      <c r="B13" s="401">
        <v>193.00000000000006</v>
      </c>
      <c r="C13" s="401">
        <v>176.00000000000006</v>
      </c>
      <c r="D13" s="402">
        <f t="shared" si="0"/>
        <v>369.00000000000011</v>
      </c>
      <c r="E13" s="229">
        <f t="shared" si="1"/>
        <v>0.52303523035230348</v>
      </c>
      <c r="F13" s="229">
        <v>0.50349650349650354</v>
      </c>
    </row>
    <row r="14" spans="1:10" x14ac:dyDescent="0.2">
      <c r="A14" s="20" t="s">
        <v>247</v>
      </c>
      <c r="B14" s="401">
        <v>1084.0000000000036</v>
      </c>
      <c r="C14" s="401">
        <v>1516.9999999999932</v>
      </c>
      <c r="D14" s="402">
        <f t="shared" si="0"/>
        <v>2600.9999999999968</v>
      </c>
      <c r="E14" s="229">
        <f t="shared" si="1"/>
        <v>0.41676278354479235</v>
      </c>
      <c r="F14" s="229">
        <v>0.44051580698835324</v>
      </c>
    </row>
    <row r="15" spans="1:10" x14ac:dyDescent="0.2">
      <c r="A15" s="20" t="s">
        <v>248</v>
      </c>
      <c r="B15" s="401">
        <v>301.99999999999972</v>
      </c>
      <c r="C15" s="401">
        <v>156.00000000000006</v>
      </c>
      <c r="D15" s="402">
        <f t="shared" si="0"/>
        <v>457.99999999999977</v>
      </c>
      <c r="E15" s="229">
        <f t="shared" si="1"/>
        <v>0.65938864628820937</v>
      </c>
      <c r="F15" s="229">
        <v>0.63973063973063959</v>
      </c>
      <c r="G15" s="19"/>
      <c r="H15" s="19"/>
      <c r="I15" s="19"/>
    </row>
    <row r="16" spans="1:10" x14ac:dyDescent="0.2">
      <c r="A16" s="20" t="s">
        <v>186</v>
      </c>
      <c r="B16" s="401">
        <v>9730.0000000000109</v>
      </c>
      <c r="C16" s="401">
        <v>7981.9999999997817</v>
      </c>
      <c r="D16" s="402">
        <f t="shared" si="0"/>
        <v>17711.999999999793</v>
      </c>
      <c r="E16" s="229">
        <f t="shared" si="1"/>
        <v>0.54934507678410827</v>
      </c>
      <c r="F16" s="229">
        <v>0.5520332050048149</v>
      </c>
    </row>
    <row r="17" spans="1:6" x14ac:dyDescent="0.2">
      <c r="A17" s="20" t="s">
        <v>249</v>
      </c>
      <c r="B17" s="401">
        <v>744.00000000000102</v>
      </c>
      <c r="C17" s="401">
        <v>1187.0000000000009</v>
      </c>
      <c r="D17" s="402">
        <f t="shared" si="0"/>
        <v>1931.0000000000018</v>
      </c>
      <c r="E17" s="229">
        <f t="shared" si="1"/>
        <v>0.38529259451061643</v>
      </c>
      <c r="F17" s="229">
        <v>0.42318840579710115</v>
      </c>
    </row>
    <row r="18" spans="1:6" x14ac:dyDescent="0.2">
      <c r="A18" s="20" t="s">
        <v>250</v>
      </c>
      <c r="B18" s="401">
        <v>3326.0000000000073</v>
      </c>
      <c r="C18" s="401">
        <v>3966.0000000000282</v>
      </c>
      <c r="D18" s="402">
        <f t="shared" si="0"/>
        <v>7292.0000000000355</v>
      </c>
      <c r="E18" s="229">
        <f t="shared" si="1"/>
        <v>0.45611629182665814</v>
      </c>
      <c r="F18" s="229">
        <v>0.44652803564797444</v>
      </c>
    </row>
    <row r="19" spans="1:6" x14ac:dyDescent="0.2">
      <c r="A19" s="20" t="s">
        <v>251</v>
      </c>
      <c r="B19" s="401">
        <v>6180.99999999989</v>
      </c>
      <c r="C19" s="401">
        <v>5466.9999999999409</v>
      </c>
      <c r="D19" s="402">
        <f t="shared" si="0"/>
        <v>11647.999999999831</v>
      </c>
      <c r="E19" s="229">
        <f t="shared" si="1"/>
        <v>0.53064903846153677</v>
      </c>
      <c r="F19" s="229">
        <v>0.53090449615667645</v>
      </c>
    </row>
    <row r="20" spans="1:6" x14ac:dyDescent="0.2">
      <c r="A20" s="20" t="s">
        <v>252</v>
      </c>
      <c r="B20" s="401">
        <v>2275.9999999999955</v>
      </c>
      <c r="C20" s="401">
        <v>1064.0000000000016</v>
      </c>
      <c r="D20" s="402">
        <f t="shared" si="0"/>
        <v>3339.9999999999973</v>
      </c>
      <c r="E20" s="229">
        <f t="shared" si="1"/>
        <v>0.68143712574850224</v>
      </c>
      <c r="F20" s="229">
        <v>0.6913023884632713</v>
      </c>
    </row>
    <row r="21" spans="1:6" x14ac:dyDescent="0.2">
      <c r="A21" s="20" t="s">
        <v>253</v>
      </c>
      <c r="B21" s="401">
        <f>619.999999999999+11</f>
        <v>630.99999999999898</v>
      </c>
      <c r="C21" s="401">
        <f>285+5</f>
        <v>290</v>
      </c>
      <c r="D21" s="402">
        <f t="shared" si="0"/>
        <v>920.99999999999898</v>
      </c>
      <c r="E21" s="229">
        <f t="shared" si="1"/>
        <v>0.68512486427795838</v>
      </c>
      <c r="F21" s="409">
        <v>0.34850640113798087</v>
      </c>
    </row>
    <row r="22" spans="1:6" x14ac:dyDescent="0.2">
      <c r="A22" s="403" t="s">
        <v>6</v>
      </c>
      <c r="B22" s="404">
        <f>SUM(B11:B21)</f>
        <v>39621.999999999636</v>
      </c>
      <c r="C22" s="404">
        <f>SUM(C11:C21)</f>
        <v>36968.99999999952</v>
      </c>
      <c r="D22" s="404">
        <f>SUM(D11:D21)</f>
        <v>76590.999999999171</v>
      </c>
      <c r="E22" s="405">
        <f t="shared" si="1"/>
        <v>0.51731926727683497</v>
      </c>
      <c r="F22" s="405">
        <v>0.51086549808594173</v>
      </c>
    </row>
    <row r="23" spans="1:6" x14ac:dyDescent="0.2">
      <c r="A23" s="400" t="s">
        <v>254</v>
      </c>
      <c r="B23" s="410"/>
      <c r="C23" s="410"/>
      <c r="D23" s="410"/>
      <c r="E23" s="411"/>
      <c r="F23" s="411"/>
    </row>
    <row r="24" spans="1:6" ht="14.85" customHeight="1" x14ac:dyDescent="0.2">
      <c r="A24" s="20" t="s">
        <v>255</v>
      </c>
      <c r="B24" s="401">
        <v>1235.0000000000005</v>
      </c>
      <c r="C24" s="401">
        <v>604.99999999999989</v>
      </c>
      <c r="D24" s="401">
        <f t="shared" ref="D24:D29" si="2">B24+C24</f>
        <v>1840.0000000000005</v>
      </c>
      <c r="E24" s="229">
        <f>B24/D24</f>
        <v>0.67119565217391308</v>
      </c>
      <c r="F24" s="229">
        <v>0.64391353811149077</v>
      </c>
    </row>
    <row r="25" spans="1:6" ht="14.85" customHeight="1" x14ac:dyDescent="0.2">
      <c r="A25" s="20" t="s">
        <v>256</v>
      </c>
      <c r="B25" s="401">
        <v>100</v>
      </c>
      <c r="C25" s="401">
        <v>45.000000000000007</v>
      </c>
      <c r="D25" s="401">
        <f t="shared" si="2"/>
        <v>145</v>
      </c>
      <c r="E25" s="229">
        <f t="shared" si="1"/>
        <v>0.68965517241379315</v>
      </c>
      <c r="F25" s="229">
        <v>0.66081871345029231</v>
      </c>
    </row>
    <row r="26" spans="1:6" ht="14.85" customHeight="1" x14ac:dyDescent="0.2">
      <c r="A26" s="20" t="s">
        <v>257</v>
      </c>
      <c r="B26" s="401">
        <v>219.00000000000003</v>
      </c>
      <c r="C26" s="401">
        <v>57.000000000000007</v>
      </c>
      <c r="D26" s="401">
        <f t="shared" si="2"/>
        <v>276.00000000000006</v>
      </c>
      <c r="E26" s="229">
        <f t="shared" si="1"/>
        <v>0.79347826086956519</v>
      </c>
      <c r="F26" s="229">
        <v>0.75536480686695284</v>
      </c>
    </row>
    <row r="27" spans="1:6" ht="14.85" customHeight="1" x14ac:dyDescent="0.2">
      <c r="A27" s="20" t="s">
        <v>258</v>
      </c>
      <c r="B27" s="401">
        <v>28.999999999999993</v>
      </c>
      <c r="C27" s="401">
        <v>160.00000000000003</v>
      </c>
      <c r="D27" s="401">
        <f t="shared" si="2"/>
        <v>189.00000000000003</v>
      </c>
      <c r="E27" s="229">
        <f t="shared" si="1"/>
        <v>0.15343915343915338</v>
      </c>
      <c r="F27" s="229">
        <v>0.1685393258426966</v>
      </c>
    </row>
    <row r="28" spans="1:6" ht="14.85" customHeight="1" x14ac:dyDescent="0.2">
      <c r="A28" s="20" t="s">
        <v>259</v>
      </c>
      <c r="B28" s="401">
        <v>358.99999999999983</v>
      </c>
      <c r="C28" s="401">
        <v>292.99999999999994</v>
      </c>
      <c r="D28" s="401">
        <f t="shared" si="2"/>
        <v>651.99999999999977</v>
      </c>
      <c r="E28" s="229">
        <f t="shared" si="1"/>
        <v>0.55061349693251527</v>
      </c>
      <c r="F28" s="229">
        <v>0.56357927786499218</v>
      </c>
    </row>
    <row r="29" spans="1:6" ht="14.85" customHeight="1" x14ac:dyDescent="0.2">
      <c r="A29" s="20" t="s">
        <v>103</v>
      </c>
      <c r="B29" s="401">
        <v>237.00000000000006</v>
      </c>
      <c r="C29" s="401">
        <v>418.99999999999989</v>
      </c>
      <c r="D29" s="401">
        <f t="shared" si="2"/>
        <v>656</v>
      </c>
      <c r="E29" s="229">
        <f t="shared" si="1"/>
        <v>0.36128048780487815</v>
      </c>
      <c r="F29" s="229">
        <v>0.36379018612521169</v>
      </c>
    </row>
    <row r="30" spans="1:6" ht="14.85" customHeight="1" x14ac:dyDescent="0.2">
      <c r="A30" s="403" t="s">
        <v>6</v>
      </c>
      <c r="B30" s="412">
        <f>SUM(B24:B29)</f>
        <v>2179.0000000000005</v>
      </c>
      <c r="C30" s="412">
        <f>SUM(C24:C29)</f>
        <v>1578.9999999999995</v>
      </c>
      <c r="D30" s="412">
        <f>SUM(D24:D29)</f>
        <v>3758</v>
      </c>
      <c r="E30" s="405">
        <f t="shared" si="1"/>
        <v>0.57982969664715289</v>
      </c>
      <c r="F30" s="405">
        <v>0.56754484304932773</v>
      </c>
    </row>
    <row r="31" spans="1:6" x14ac:dyDescent="0.2">
      <c r="A31" s="400" t="s">
        <v>260</v>
      </c>
      <c r="B31" s="410"/>
      <c r="C31" s="410"/>
      <c r="D31" s="410"/>
      <c r="E31" s="411"/>
      <c r="F31" s="411"/>
    </row>
    <row r="32" spans="1:6" ht="14.85" customHeight="1" x14ac:dyDescent="0.2">
      <c r="A32" s="403" t="s">
        <v>261</v>
      </c>
      <c r="B32" s="412">
        <v>109.99999999999996</v>
      </c>
      <c r="C32" s="412">
        <v>43</v>
      </c>
      <c r="D32" s="412">
        <v>153</v>
      </c>
      <c r="E32" s="405">
        <f t="shared" si="1"/>
        <v>0.71895424836601274</v>
      </c>
      <c r="F32" s="405">
        <v>0.58536585365853655</v>
      </c>
    </row>
    <row r="33" spans="1:6" ht="14.85" customHeight="1" x14ac:dyDescent="0.2">
      <c r="A33" s="400" t="s">
        <v>262</v>
      </c>
      <c r="B33" s="413">
        <f>B9+B22+B30+B32</f>
        <v>47619.999999999636</v>
      </c>
      <c r="C33" s="413">
        <f>C9+C22+C30+C32</f>
        <v>46482.999999999527</v>
      </c>
      <c r="D33" s="413">
        <f>D9+D22+D30+D32</f>
        <v>94102.999999999185</v>
      </c>
      <c r="E33" s="407">
        <f t="shared" si="1"/>
        <v>0.50604125266994726</v>
      </c>
      <c r="F33" s="407">
        <v>0.49725609056048919</v>
      </c>
    </row>
    <row r="34" spans="1:6" s="417" customFormat="1" ht="14.85" customHeight="1" x14ac:dyDescent="0.2">
      <c r="A34" s="414"/>
      <c r="B34" s="415"/>
      <c r="C34" s="415"/>
      <c r="D34" s="415"/>
      <c r="E34" s="416"/>
      <c r="F34" s="416"/>
    </row>
    <row r="35" spans="1:6" x14ac:dyDescent="0.2">
      <c r="A35" s="20" t="s">
        <v>944</v>
      </c>
    </row>
    <row r="38" spans="1:6" x14ac:dyDescent="0.2">
      <c r="A38" s="68"/>
    </row>
  </sheetData>
  <mergeCells count="1">
    <mergeCell ref="B4:C4"/>
  </mergeCells>
  <pageMargins left="0.78740157480314965" right="0.78740157480314965" top="1.0236220472440944" bottom="1.0236220472440944" header="0.78740157480314965" footer="0.78740157480314965"/>
  <pageSetup paperSize="9" scale="85" firstPageNumber="0" orientation="landscape" r:id="rId1"/>
  <headerFooter>
    <oddHeader>&amp;C&amp;"Arial,Normal"&amp;10&amp;A</oddHeader>
    <oddFooter>&amp;C&amp;"Arial,Normal"&amp;10Page &amp;P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A32" sqref="A32"/>
    </sheetView>
  </sheetViews>
  <sheetFormatPr baseColWidth="10" defaultColWidth="9.140625" defaultRowHeight="11.25" x14ac:dyDescent="0.2"/>
  <cols>
    <col min="1" max="1" width="20.42578125" style="20" customWidth="1"/>
    <col min="2" max="16384" width="9.140625" style="20"/>
  </cols>
  <sheetData>
    <row r="1" spans="1:6" x14ac:dyDescent="0.2">
      <c r="A1" s="19" t="s">
        <v>674</v>
      </c>
    </row>
    <row r="2" spans="1:6" x14ac:dyDescent="0.2">
      <c r="A2" s="19"/>
    </row>
    <row r="3" spans="1:6" x14ac:dyDescent="0.2">
      <c r="C3" s="19" t="s">
        <v>143</v>
      </c>
      <c r="D3" s="19" t="s">
        <v>144</v>
      </c>
      <c r="E3" s="19" t="s">
        <v>145</v>
      </c>
      <c r="F3" s="19" t="s">
        <v>146</v>
      </c>
    </row>
    <row r="4" spans="1:6" x14ac:dyDescent="0.2">
      <c r="A4" s="733" t="s">
        <v>134</v>
      </c>
      <c r="B4" s="20" t="s">
        <v>4</v>
      </c>
      <c r="C4" s="298">
        <v>0.86</v>
      </c>
      <c r="D4" s="298">
        <v>0.11</v>
      </c>
      <c r="E4" s="298">
        <v>0.02</v>
      </c>
      <c r="F4" s="418">
        <v>585</v>
      </c>
    </row>
    <row r="5" spans="1:6" x14ac:dyDescent="0.2">
      <c r="A5" s="733"/>
      <c r="B5" s="20" t="s">
        <v>5</v>
      </c>
      <c r="C5" s="298">
        <v>0.94</v>
      </c>
      <c r="D5" s="298">
        <v>0.04</v>
      </c>
      <c r="E5" s="298">
        <v>0.02</v>
      </c>
      <c r="F5" s="418">
        <v>388</v>
      </c>
    </row>
    <row r="6" spans="1:6" x14ac:dyDescent="0.2">
      <c r="A6" s="733"/>
      <c r="B6" s="19" t="s">
        <v>147</v>
      </c>
      <c r="C6" s="19">
        <v>869</v>
      </c>
      <c r="D6" s="19">
        <v>83</v>
      </c>
      <c r="E6" s="19">
        <v>21</v>
      </c>
      <c r="F6" s="419">
        <v>973</v>
      </c>
    </row>
    <row r="7" spans="1:6" x14ac:dyDescent="0.2">
      <c r="A7" s="733" t="s">
        <v>133</v>
      </c>
      <c r="B7" s="20" t="s">
        <v>4</v>
      </c>
      <c r="C7" s="298">
        <v>0.81</v>
      </c>
      <c r="D7" s="298">
        <v>0.18</v>
      </c>
      <c r="E7" s="298">
        <v>0.01</v>
      </c>
      <c r="F7" s="418">
        <v>213</v>
      </c>
    </row>
    <row r="8" spans="1:6" x14ac:dyDescent="0.2">
      <c r="A8" s="733"/>
      <c r="B8" s="20" t="s">
        <v>5</v>
      </c>
      <c r="C8" s="298">
        <v>0.76</v>
      </c>
      <c r="D8" s="298">
        <v>0.2</v>
      </c>
      <c r="E8" s="298">
        <v>0.03</v>
      </c>
      <c r="F8" s="418">
        <v>118</v>
      </c>
    </row>
    <row r="9" spans="1:6" x14ac:dyDescent="0.2">
      <c r="A9" s="733"/>
      <c r="B9" s="19" t="s">
        <v>147</v>
      </c>
      <c r="C9" s="19">
        <v>262</v>
      </c>
      <c r="D9" s="19">
        <v>62</v>
      </c>
      <c r="E9" s="19">
        <v>7</v>
      </c>
      <c r="F9" s="419">
        <v>331</v>
      </c>
    </row>
    <row r="10" spans="1:6" x14ac:dyDescent="0.2">
      <c r="A10" s="733" t="s">
        <v>148</v>
      </c>
      <c r="B10" s="20" t="s">
        <v>4</v>
      </c>
      <c r="C10" s="298">
        <v>0.83</v>
      </c>
      <c r="D10" s="298">
        <v>0.17</v>
      </c>
      <c r="E10" s="298">
        <v>0</v>
      </c>
      <c r="F10" s="418">
        <v>6</v>
      </c>
    </row>
    <row r="11" spans="1:6" x14ac:dyDescent="0.2">
      <c r="A11" s="733"/>
      <c r="B11" s="20" t="s">
        <v>5</v>
      </c>
      <c r="C11" s="298">
        <v>0.83</v>
      </c>
      <c r="D11" s="298">
        <v>0</v>
      </c>
      <c r="E11" s="298">
        <v>0.17</v>
      </c>
      <c r="F11" s="418">
        <v>6</v>
      </c>
    </row>
    <row r="12" spans="1:6" x14ac:dyDescent="0.2">
      <c r="A12" s="733"/>
      <c r="B12" s="19" t="s">
        <v>147</v>
      </c>
      <c r="C12" s="19">
        <v>10</v>
      </c>
      <c r="D12" s="19">
        <v>1</v>
      </c>
      <c r="E12" s="19">
        <v>1</v>
      </c>
      <c r="F12" s="419">
        <v>12</v>
      </c>
    </row>
    <row r="13" spans="1:6" x14ac:dyDescent="0.2">
      <c r="A13" s="733" t="s">
        <v>136</v>
      </c>
      <c r="B13" s="20" t="s">
        <v>4</v>
      </c>
      <c r="C13" s="298">
        <v>0.76</v>
      </c>
      <c r="D13" s="298">
        <v>0.19</v>
      </c>
      <c r="E13" s="298">
        <v>0.05</v>
      </c>
      <c r="F13" s="418">
        <v>100</v>
      </c>
    </row>
    <row r="14" spans="1:6" x14ac:dyDescent="0.2">
      <c r="A14" s="733"/>
      <c r="B14" s="20" t="s">
        <v>5</v>
      </c>
      <c r="C14" s="298">
        <v>0.89</v>
      </c>
      <c r="D14" s="298">
        <v>0.11</v>
      </c>
      <c r="E14" s="298">
        <v>0</v>
      </c>
      <c r="F14" s="418">
        <v>18</v>
      </c>
    </row>
    <row r="15" spans="1:6" x14ac:dyDescent="0.2">
      <c r="A15" s="733"/>
      <c r="B15" s="19" t="s">
        <v>147</v>
      </c>
      <c r="C15" s="19">
        <v>92</v>
      </c>
      <c r="D15" s="19">
        <v>21</v>
      </c>
      <c r="E15" s="19">
        <v>5</v>
      </c>
      <c r="F15" s="419">
        <v>118</v>
      </c>
    </row>
    <row r="16" spans="1:6" x14ac:dyDescent="0.2">
      <c r="A16" s="733" t="s">
        <v>135</v>
      </c>
      <c r="B16" s="20" t="s">
        <v>4</v>
      </c>
      <c r="C16" s="298">
        <v>0.94</v>
      </c>
      <c r="D16" s="298">
        <v>0.03</v>
      </c>
      <c r="E16" s="298">
        <v>0.03</v>
      </c>
      <c r="F16" s="418">
        <v>174</v>
      </c>
    </row>
    <row r="17" spans="1:6" x14ac:dyDescent="0.2">
      <c r="A17" s="733"/>
      <c r="B17" s="20" t="s">
        <v>5</v>
      </c>
      <c r="C17" s="298">
        <v>0.86</v>
      </c>
      <c r="D17" s="298">
        <v>0.1</v>
      </c>
      <c r="E17" s="298">
        <v>0.04</v>
      </c>
      <c r="F17" s="418">
        <v>124</v>
      </c>
    </row>
    <row r="18" spans="1:6" x14ac:dyDescent="0.2">
      <c r="A18" s="733"/>
      <c r="B18" s="19" t="s">
        <v>147</v>
      </c>
      <c r="C18" s="19">
        <v>270</v>
      </c>
      <c r="D18" s="19">
        <v>18</v>
      </c>
      <c r="E18" s="19">
        <v>10</v>
      </c>
      <c r="F18" s="419">
        <v>298</v>
      </c>
    </row>
    <row r="19" spans="1:6" ht="15.75" customHeight="1" x14ac:dyDescent="0.2">
      <c r="A19" s="692" t="s">
        <v>149</v>
      </c>
      <c r="B19" s="20" t="s">
        <v>4</v>
      </c>
      <c r="C19" s="298">
        <v>0.85</v>
      </c>
      <c r="D19" s="298">
        <v>0.12</v>
      </c>
      <c r="E19" s="298">
        <v>0.03</v>
      </c>
      <c r="F19" s="418">
        <v>1078</v>
      </c>
    </row>
    <row r="20" spans="1:6" x14ac:dyDescent="0.2">
      <c r="A20" s="692"/>
      <c r="B20" s="20" t="s">
        <v>5</v>
      </c>
      <c r="C20" s="298">
        <v>0.89</v>
      </c>
      <c r="D20" s="298">
        <v>0.08</v>
      </c>
      <c r="E20" s="298">
        <v>0.03</v>
      </c>
      <c r="F20" s="418">
        <v>654</v>
      </c>
    </row>
    <row r="21" spans="1:6" x14ac:dyDescent="0.2">
      <c r="A21" s="692"/>
      <c r="B21" s="19" t="s">
        <v>147</v>
      </c>
      <c r="C21" s="19">
        <v>1503</v>
      </c>
      <c r="D21" s="19">
        <v>185</v>
      </c>
      <c r="E21" s="19">
        <v>44</v>
      </c>
      <c r="F21" s="419">
        <v>1732</v>
      </c>
    </row>
    <row r="22" spans="1:6" ht="46.5" customHeight="1" x14ac:dyDescent="0.2">
      <c r="A22" s="49" t="s">
        <v>150</v>
      </c>
      <c r="B22" s="19"/>
      <c r="C22" s="19"/>
      <c r="D22" s="19"/>
      <c r="E22" s="19"/>
      <c r="F22" s="19"/>
    </row>
    <row r="23" spans="1:6" x14ac:dyDescent="0.2">
      <c r="A23" s="20" t="s">
        <v>675</v>
      </c>
    </row>
    <row r="24" spans="1:6" x14ac:dyDescent="0.2">
      <c r="A24" s="20" t="s">
        <v>676</v>
      </c>
    </row>
    <row r="26" spans="1:6" x14ac:dyDescent="0.2">
      <c r="A26" s="20" t="s">
        <v>945</v>
      </c>
    </row>
    <row r="28" spans="1:6" x14ac:dyDescent="0.2">
      <c r="A28" s="68"/>
    </row>
  </sheetData>
  <mergeCells count="6">
    <mergeCell ref="A19:A21"/>
    <mergeCell ref="A4:A6"/>
    <mergeCell ref="A7:A9"/>
    <mergeCell ref="A10:A12"/>
    <mergeCell ref="A13:A15"/>
    <mergeCell ref="A16:A18"/>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E20" sqref="E20"/>
    </sheetView>
  </sheetViews>
  <sheetFormatPr baseColWidth="10" defaultColWidth="9.140625" defaultRowHeight="11.25" x14ac:dyDescent="0.2"/>
  <cols>
    <col min="1" max="1" width="57.85546875" style="2" bestFit="1" customWidth="1"/>
    <col min="2" max="3" width="9.140625" style="2"/>
    <col min="4" max="4" width="9.5703125" style="2" bestFit="1" customWidth="1"/>
    <col min="5" max="5" width="9.140625" style="2"/>
    <col min="6" max="7" width="17.85546875" style="2" bestFit="1" customWidth="1"/>
    <col min="8" max="8" width="16.85546875" style="2" bestFit="1" customWidth="1"/>
    <col min="9" max="16384" width="9.140625" style="2"/>
  </cols>
  <sheetData>
    <row r="1" spans="1:8" s="15" customFormat="1" x14ac:dyDescent="0.2">
      <c r="A1" s="15" t="s">
        <v>292</v>
      </c>
    </row>
    <row r="3" spans="1:8" x14ac:dyDescent="0.2">
      <c r="A3" s="39"/>
      <c r="B3" s="705" t="s">
        <v>17</v>
      </c>
      <c r="C3" s="706"/>
      <c r="D3" s="706"/>
      <c r="E3" s="707"/>
      <c r="F3" s="40" t="s">
        <v>3</v>
      </c>
      <c r="G3" s="40" t="s">
        <v>2</v>
      </c>
      <c r="H3" s="40" t="s">
        <v>1</v>
      </c>
    </row>
    <row r="4" spans="1:8" x14ac:dyDescent="0.2">
      <c r="A4" s="39"/>
      <c r="B4" s="40" t="s">
        <v>4</v>
      </c>
      <c r="C4" s="40" t="s">
        <v>5</v>
      </c>
      <c r="D4" s="40" t="s">
        <v>6</v>
      </c>
      <c r="E4" s="41" t="s">
        <v>281</v>
      </c>
      <c r="F4" s="705" t="s">
        <v>281</v>
      </c>
      <c r="G4" s="706"/>
      <c r="H4" s="707"/>
    </row>
    <row r="5" spans="1:8" x14ac:dyDescent="0.2">
      <c r="A5" s="39" t="s">
        <v>293</v>
      </c>
      <c r="B5" s="42"/>
      <c r="C5" s="42">
        <v>1</v>
      </c>
      <c r="D5" s="42">
        <v>1</v>
      </c>
      <c r="E5" s="42"/>
      <c r="F5" s="42"/>
      <c r="G5" s="42"/>
      <c r="H5" s="42"/>
    </row>
    <row r="6" spans="1:8" x14ac:dyDescent="0.2">
      <c r="A6" s="39" t="s">
        <v>294</v>
      </c>
      <c r="B6" s="42">
        <v>1</v>
      </c>
      <c r="C6" s="42"/>
      <c r="D6" s="42">
        <v>1</v>
      </c>
      <c r="E6" s="42"/>
      <c r="F6" s="42"/>
      <c r="G6" s="42"/>
      <c r="H6" s="42"/>
    </row>
    <row r="7" spans="1:8" x14ac:dyDescent="0.2">
      <c r="A7" s="39" t="s">
        <v>295</v>
      </c>
      <c r="B7" s="42"/>
      <c r="C7" s="42">
        <v>1</v>
      </c>
      <c r="D7" s="42">
        <v>1</v>
      </c>
      <c r="E7" s="42"/>
      <c r="F7" s="42"/>
      <c r="G7" s="42"/>
      <c r="H7" s="42"/>
    </row>
    <row r="8" spans="1:8" x14ac:dyDescent="0.2">
      <c r="A8" s="39" t="s">
        <v>296</v>
      </c>
      <c r="B8" s="42"/>
      <c r="C8" s="42">
        <v>1</v>
      </c>
      <c r="D8" s="42">
        <v>1</v>
      </c>
      <c r="E8" s="42"/>
      <c r="F8" s="42"/>
      <c r="G8" s="42"/>
      <c r="H8" s="42"/>
    </row>
    <row r="9" spans="1:8" x14ac:dyDescent="0.2">
      <c r="A9" s="39" t="s">
        <v>297</v>
      </c>
      <c r="B9" s="42"/>
      <c r="C9" s="42">
        <v>1</v>
      </c>
      <c r="D9" s="42">
        <v>1</v>
      </c>
      <c r="E9" s="42"/>
      <c r="F9" s="42"/>
      <c r="G9" s="42"/>
      <c r="H9" s="42"/>
    </row>
    <row r="10" spans="1:8" x14ac:dyDescent="0.2">
      <c r="A10" s="39" t="s">
        <v>298</v>
      </c>
      <c r="B10" s="42"/>
      <c r="C10" s="42">
        <v>1</v>
      </c>
      <c r="D10" s="42">
        <v>1</v>
      </c>
      <c r="E10" s="42"/>
      <c r="F10" s="42"/>
      <c r="G10" s="42"/>
      <c r="H10" s="42"/>
    </row>
    <row r="11" spans="1:8" x14ac:dyDescent="0.2">
      <c r="A11" s="39" t="s">
        <v>299</v>
      </c>
      <c r="B11" s="42"/>
      <c r="C11" s="42">
        <v>1</v>
      </c>
      <c r="D11" s="42">
        <v>1</v>
      </c>
      <c r="E11" s="42"/>
      <c r="F11" s="42"/>
      <c r="G11" s="42"/>
      <c r="H11" s="42"/>
    </row>
    <row r="12" spans="1:8" x14ac:dyDescent="0.2">
      <c r="A12" s="39" t="s">
        <v>300</v>
      </c>
      <c r="B12" s="42"/>
      <c r="C12" s="42">
        <v>1</v>
      </c>
      <c r="D12" s="42">
        <v>1</v>
      </c>
      <c r="E12" s="42"/>
      <c r="F12" s="42"/>
      <c r="G12" s="42"/>
      <c r="H12" s="42"/>
    </row>
    <row r="13" spans="1:8" x14ac:dyDescent="0.2">
      <c r="A13" s="39" t="s">
        <v>301</v>
      </c>
      <c r="B13" s="42"/>
      <c r="C13" s="42">
        <v>1</v>
      </c>
      <c r="D13" s="42">
        <v>1</v>
      </c>
      <c r="E13" s="42"/>
      <c r="F13" s="42"/>
      <c r="G13" s="42"/>
      <c r="H13" s="42"/>
    </row>
    <row r="14" spans="1:8" x14ac:dyDescent="0.2">
      <c r="A14" s="39" t="s">
        <v>302</v>
      </c>
      <c r="B14" s="42"/>
      <c r="C14" s="42">
        <v>1</v>
      </c>
      <c r="D14" s="42">
        <v>1</v>
      </c>
      <c r="E14" s="42"/>
      <c r="F14" s="42"/>
      <c r="G14" s="42"/>
      <c r="H14" s="42"/>
    </row>
    <row r="15" spans="1:8" x14ac:dyDescent="0.2">
      <c r="A15" s="39" t="s">
        <v>303</v>
      </c>
      <c r="B15" s="42"/>
      <c r="C15" s="42">
        <v>1</v>
      </c>
      <c r="D15" s="42">
        <v>1</v>
      </c>
      <c r="E15" s="42"/>
      <c r="F15" s="42"/>
      <c r="G15" s="42"/>
      <c r="H15" s="42"/>
    </row>
    <row r="16" spans="1:8" s="15" customFormat="1" x14ac:dyDescent="0.2">
      <c r="A16" s="43" t="s">
        <v>304</v>
      </c>
      <c r="B16" s="40">
        <v>1</v>
      </c>
      <c r="C16" s="40">
        <v>10</v>
      </c>
      <c r="D16" s="40">
        <v>11</v>
      </c>
      <c r="E16" s="44">
        <f>B16/D16</f>
        <v>9.0909090909090912E-2</v>
      </c>
      <c r="F16" s="45">
        <v>0.09</v>
      </c>
      <c r="G16" s="45">
        <v>0.09</v>
      </c>
      <c r="H16" s="45">
        <v>0.09</v>
      </c>
    </row>
    <row r="17" spans="1:8" x14ac:dyDescent="0.2">
      <c r="A17" s="39" t="s">
        <v>305</v>
      </c>
      <c r="B17" s="42"/>
      <c r="C17" s="42">
        <v>1</v>
      </c>
      <c r="D17" s="42">
        <v>1</v>
      </c>
      <c r="E17" s="42"/>
      <c r="F17" s="42"/>
      <c r="G17" s="42"/>
      <c r="H17" s="42"/>
    </row>
    <row r="18" spans="1:8" x14ac:dyDescent="0.2">
      <c r="A18" s="39" t="s">
        <v>306</v>
      </c>
      <c r="B18" s="42">
        <v>1</v>
      </c>
      <c r="C18" s="42"/>
      <c r="D18" s="42">
        <v>1</v>
      </c>
      <c r="E18" s="42"/>
      <c r="F18" s="42"/>
      <c r="G18" s="42"/>
      <c r="H18" s="42"/>
    </row>
    <row r="19" spans="1:8" s="15" customFormat="1" x14ac:dyDescent="0.2">
      <c r="A19" s="43" t="s">
        <v>307</v>
      </c>
      <c r="B19" s="40">
        <f>B18+B17</f>
        <v>1</v>
      </c>
      <c r="C19" s="40">
        <f>C18+C17</f>
        <v>1</v>
      </c>
      <c r="D19" s="40">
        <f>D18+D17</f>
        <v>2</v>
      </c>
      <c r="E19" s="44">
        <f>B19/D19</f>
        <v>0.5</v>
      </c>
      <c r="F19" s="45">
        <v>0.5</v>
      </c>
      <c r="G19" s="45">
        <v>0.5</v>
      </c>
      <c r="H19" s="45">
        <v>0.5</v>
      </c>
    </row>
    <row r="20" spans="1:8" s="15" customFormat="1" x14ac:dyDescent="0.2">
      <c r="A20" s="43" t="s">
        <v>6</v>
      </c>
      <c r="B20" s="40">
        <f>B19+B16</f>
        <v>2</v>
      </c>
      <c r="C20" s="40">
        <f>C19+C16</f>
        <v>11</v>
      </c>
      <c r="D20" s="40">
        <f>D19+D16</f>
        <v>13</v>
      </c>
      <c r="E20" s="44">
        <f>B20/D20</f>
        <v>0.15384615384615385</v>
      </c>
      <c r="F20" s="45">
        <v>0.15</v>
      </c>
      <c r="G20" s="45">
        <v>0.15</v>
      </c>
      <c r="H20" s="45">
        <v>0.15</v>
      </c>
    </row>
    <row r="22" spans="1:8" x14ac:dyDescent="0.2">
      <c r="A22" s="2" t="s">
        <v>308</v>
      </c>
    </row>
  </sheetData>
  <mergeCells count="2">
    <mergeCell ref="B3:E3"/>
    <mergeCell ref="F4:H4"/>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32" sqref="A32"/>
    </sheetView>
  </sheetViews>
  <sheetFormatPr baseColWidth="10" defaultRowHeight="11.25" x14ac:dyDescent="0.2"/>
  <cols>
    <col min="1" max="1" width="63.140625" style="2" customWidth="1"/>
    <col min="2" max="6" width="11.42578125" style="2"/>
    <col min="7" max="7" width="10.140625" style="2" customWidth="1"/>
    <col min="8" max="16384" width="11.42578125" style="2"/>
  </cols>
  <sheetData>
    <row r="1" spans="1:8" x14ac:dyDescent="0.2">
      <c r="A1" s="515" t="s">
        <v>151</v>
      </c>
      <c r="B1" s="615"/>
      <c r="C1" s="615"/>
      <c r="D1" s="615"/>
      <c r="E1" s="615"/>
      <c r="F1" s="615"/>
      <c r="G1" s="615"/>
      <c r="H1" s="615"/>
    </row>
    <row r="2" spans="1:8" x14ac:dyDescent="0.2">
      <c r="A2" s="121"/>
      <c r="B2" s="615"/>
      <c r="C2" s="615"/>
      <c r="D2" s="615"/>
      <c r="E2" s="615"/>
      <c r="F2" s="615"/>
      <c r="G2" s="615"/>
      <c r="H2" s="615"/>
    </row>
    <row r="3" spans="1:8" x14ac:dyDescent="0.2">
      <c r="A3" s="615"/>
      <c r="B3" s="616" t="s">
        <v>152</v>
      </c>
      <c r="C3" s="616" t="s">
        <v>153</v>
      </c>
      <c r="D3" s="616" t="s">
        <v>154</v>
      </c>
      <c r="E3" s="616" t="s">
        <v>155</v>
      </c>
      <c r="F3" s="616" t="s">
        <v>176</v>
      </c>
      <c r="G3" s="762" t="s">
        <v>868</v>
      </c>
      <c r="H3" s="762"/>
    </row>
    <row r="4" spans="1:8" ht="33.75" x14ac:dyDescent="0.2">
      <c r="A4" s="615"/>
      <c r="B4" s="500" t="s">
        <v>947</v>
      </c>
      <c r="C4" s="500" t="s">
        <v>947</v>
      </c>
      <c r="D4" s="500" t="s">
        <v>947</v>
      </c>
      <c r="E4" s="500" t="s">
        <v>947</v>
      </c>
      <c r="F4" s="500" t="s">
        <v>947</v>
      </c>
      <c r="G4" s="500" t="s">
        <v>947</v>
      </c>
      <c r="H4" s="500" t="s">
        <v>869</v>
      </c>
    </row>
    <row r="5" spans="1:8" x14ac:dyDescent="0.2">
      <c r="A5" s="515" t="s">
        <v>156</v>
      </c>
      <c r="B5" s="229">
        <v>0.28769693561032145</v>
      </c>
      <c r="C5" s="229">
        <v>0.2835903484200698</v>
      </c>
      <c r="D5" s="229">
        <v>0.34049306354488051</v>
      </c>
      <c r="E5" s="229">
        <v>0.27108635121460806</v>
      </c>
      <c r="F5" s="229">
        <v>0.31741001055054224</v>
      </c>
      <c r="G5" s="229">
        <v>0.31189615224388872</v>
      </c>
      <c r="H5" s="617">
        <v>186752</v>
      </c>
    </row>
    <row r="6" spans="1:8" x14ac:dyDescent="0.2">
      <c r="A6" s="618" t="s">
        <v>157</v>
      </c>
      <c r="B6" s="619">
        <v>0.30843810419800533</v>
      </c>
      <c r="C6" s="619">
        <v>0.28592732052740727</v>
      </c>
      <c r="D6" s="619">
        <v>0.33295859851125553</v>
      </c>
      <c r="E6" s="619">
        <v>0.26315625319134034</v>
      </c>
      <c r="F6" s="619">
        <v>0.36180659153969208</v>
      </c>
      <c r="G6" s="619">
        <v>0.35</v>
      </c>
      <c r="H6" s="620">
        <v>61326</v>
      </c>
    </row>
    <row r="7" spans="1:8" x14ac:dyDescent="0.2">
      <c r="A7" s="618" t="s">
        <v>158</v>
      </c>
      <c r="B7" s="619">
        <v>0.25067248673657266</v>
      </c>
      <c r="C7" s="619">
        <v>0.27996563357045223</v>
      </c>
      <c r="D7" s="619">
        <v>0.34953845007455586</v>
      </c>
      <c r="E7" s="619">
        <v>0.2807247805867944</v>
      </c>
      <c r="F7" s="619">
        <v>0.26246441618708394</v>
      </c>
      <c r="G7" s="619">
        <v>0.28999999999999998</v>
      </c>
      <c r="H7" s="620">
        <v>49501</v>
      </c>
    </row>
    <row r="8" spans="1:8" x14ac:dyDescent="0.2">
      <c r="A8" s="515" t="s">
        <v>159</v>
      </c>
      <c r="B8" s="229">
        <v>0.32680521062011342</v>
      </c>
      <c r="C8" s="229">
        <v>0.3488950285288745</v>
      </c>
      <c r="D8" s="229">
        <v>0.37865827869290897</v>
      </c>
      <c r="E8" s="229">
        <v>0.43124520031418079</v>
      </c>
      <c r="F8" s="229">
        <v>0.45929398379753317</v>
      </c>
      <c r="G8" s="229">
        <v>0.46</v>
      </c>
      <c r="H8" s="617">
        <v>173732</v>
      </c>
    </row>
    <row r="9" spans="1:8" x14ac:dyDescent="0.2">
      <c r="A9" s="618" t="s">
        <v>160</v>
      </c>
      <c r="B9" s="619">
        <v>0.33119192248003637</v>
      </c>
      <c r="C9" s="619">
        <v>0.33939476525780427</v>
      </c>
      <c r="D9" s="619">
        <v>0.38719371243643086</v>
      </c>
      <c r="E9" s="619">
        <v>0.42799486964163208</v>
      </c>
      <c r="F9" s="619">
        <v>0.46724840089883762</v>
      </c>
      <c r="G9" s="619">
        <v>0.42</v>
      </c>
      <c r="H9" s="620">
        <v>39618</v>
      </c>
    </row>
    <row r="10" spans="1:8" x14ac:dyDescent="0.2">
      <c r="A10" s="618" t="s">
        <v>161</v>
      </c>
      <c r="B10" s="619">
        <v>0.16086085718941298</v>
      </c>
      <c r="C10" s="619">
        <v>0.24108217702591395</v>
      </c>
      <c r="D10" s="619">
        <v>0.19779092983729585</v>
      </c>
      <c r="E10" s="619">
        <v>0.24516793769345829</v>
      </c>
      <c r="F10" s="619">
        <v>0.24077933718646566</v>
      </c>
      <c r="G10" s="619">
        <v>0.32</v>
      </c>
      <c r="H10" s="620">
        <v>21489</v>
      </c>
    </row>
    <row r="11" spans="1:8" x14ac:dyDescent="0.2">
      <c r="A11" s="618" t="s">
        <v>162</v>
      </c>
      <c r="B11" s="619">
        <v>0.48261060022423091</v>
      </c>
      <c r="C11" s="619">
        <v>0.46725003080714722</v>
      </c>
      <c r="D11" s="619">
        <v>0.4916271658955198</v>
      </c>
      <c r="E11" s="619">
        <v>0.47480707377502218</v>
      </c>
      <c r="F11" s="619">
        <v>0.51336254124586755</v>
      </c>
      <c r="G11" s="619">
        <v>0.48</v>
      </c>
      <c r="H11" s="620">
        <v>112625</v>
      </c>
    </row>
    <row r="12" spans="1:8" x14ac:dyDescent="0.2">
      <c r="A12" s="618" t="s">
        <v>163</v>
      </c>
      <c r="B12" s="619">
        <v>0.19920037904699689</v>
      </c>
      <c r="C12" s="619">
        <v>0.2717490702513265</v>
      </c>
      <c r="D12" s="619">
        <v>0.31727650038152505</v>
      </c>
      <c r="E12" s="619">
        <v>0.42669329406194351</v>
      </c>
      <c r="F12" s="619">
        <v>0.38983124586732876</v>
      </c>
      <c r="G12" s="619">
        <v>0.56999999999999995</v>
      </c>
      <c r="H12" s="620">
        <v>23432</v>
      </c>
    </row>
    <row r="13" spans="1:8" x14ac:dyDescent="0.2">
      <c r="A13" s="515" t="s">
        <v>164</v>
      </c>
      <c r="B13" s="229">
        <v>0.43292739571633854</v>
      </c>
      <c r="C13" s="229">
        <v>0.45474574568553083</v>
      </c>
      <c r="D13" s="229">
        <v>0.45019745650086807</v>
      </c>
      <c r="E13" s="229">
        <v>0.54051748304905534</v>
      </c>
      <c r="F13" s="229">
        <v>0.47373535356150009</v>
      </c>
      <c r="G13" s="229">
        <v>0.54</v>
      </c>
      <c r="H13" s="617">
        <v>80373</v>
      </c>
    </row>
    <row r="14" spans="1:8" x14ac:dyDescent="0.2">
      <c r="A14" s="618" t="s">
        <v>165</v>
      </c>
      <c r="B14" s="619">
        <v>0.38037724664479305</v>
      </c>
      <c r="C14" s="619">
        <v>0.41977197595072646</v>
      </c>
      <c r="D14" s="619">
        <v>0.40867865098956968</v>
      </c>
      <c r="E14" s="619">
        <v>0.52604481815202297</v>
      </c>
      <c r="F14" s="619">
        <v>0.45006618337412069</v>
      </c>
      <c r="G14" s="619">
        <v>0.52</v>
      </c>
      <c r="H14" s="620">
        <v>47540</v>
      </c>
    </row>
    <row r="15" spans="1:8" x14ac:dyDescent="0.2">
      <c r="A15" s="618" t="s">
        <v>166</v>
      </c>
      <c r="B15" s="619">
        <v>0.46027623520064859</v>
      </c>
      <c r="C15" s="619">
        <v>0.34490765171503956</v>
      </c>
      <c r="D15" s="619">
        <v>0.43308915622852778</v>
      </c>
      <c r="E15" s="619">
        <v>0.3201712818046426</v>
      </c>
      <c r="F15" s="619">
        <v>0.36181843372980349</v>
      </c>
      <c r="G15" s="619">
        <v>0.41</v>
      </c>
      <c r="H15" s="620">
        <v>12916</v>
      </c>
    </row>
    <row r="16" spans="1:8" x14ac:dyDescent="0.2">
      <c r="A16" s="618" t="s">
        <v>167</v>
      </c>
      <c r="B16" s="619">
        <v>0.68326109717628791</v>
      </c>
      <c r="C16" s="619">
        <v>0.68483757910360898</v>
      </c>
      <c r="D16" s="619">
        <v>0.77206362536665396</v>
      </c>
      <c r="E16" s="619">
        <v>0.72509209463771096</v>
      </c>
      <c r="F16" s="619">
        <v>0.62848014661114848</v>
      </c>
      <c r="G16" s="619">
        <v>0.66</v>
      </c>
      <c r="H16" s="620">
        <v>19918</v>
      </c>
    </row>
    <row r="17" spans="1:8" x14ac:dyDescent="0.2">
      <c r="A17" s="515" t="s">
        <v>168</v>
      </c>
      <c r="B17" s="619">
        <v>0.78845033959539124</v>
      </c>
      <c r="C17" s="619">
        <v>0.79874163208759452</v>
      </c>
      <c r="D17" s="619">
        <v>0.77487689921671521</v>
      </c>
      <c r="E17" s="619">
        <v>0.81509076765915967</v>
      </c>
      <c r="F17" s="619">
        <v>0.76447350230414746</v>
      </c>
      <c r="G17" s="619">
        <v>0.67</v>
      </c>
      <c r="H17" s="620">
        <v>22984</v>
      </c>
    </row>
    <row r="18" spans="1:8" x14ac:dyDescent="0.2">
      <c r="A18" s="515" t="s">
        <v>169</v>
      </c>
      <c r="B18" s="619">
        <v>0.16387667496991837</v>
      </c>
      <c r="C18" s="619">
        <v>0.15611823737692057</v>
      </c>
      <c r="D18" s="619">
        <v>0.13523044341495699</v>
      </c>
      <c r="E18" s="619">
        <v>0.23854884920231553</v>
      </c>
      <c r="F18" s="619">
        <v>0.33353604107730855</v>
      </c>
      <c r="G18" s="619">
        <v>0.34</v>
      </c>
      <c r="H18" s="620">
        <v>58096</v>
      </c>
    </row>
    <row r="19" spans="1:8" x14ac:dyDescent="0.2">
      <c r="A19" s="515" t="s">
        <v>170</v>
      </c>
      <c r="B19" s="619">
        <v>0.65028314638655504</v>
      </c>
      <c r="C19" s="619">
        <v>0.60085916589908817</v>
      </c>
      <c r="D19" s="619">
        <v>0.5898048512372055</v>
      </c>
      <c r="E19" s="619">
        <v>0.56644659364364791</v>
      </c>
      <c r="F19" s="619">
        <v>0.50754949106037517</v>
      </c>
      <c r="G19" s="619">
        <v>0.55000000000000004</v>
      </c>
      <c r="H19" s="620">
        <v>49721</v>
      </c>
    </row>
    <row r="20" spans="1:8" x14ac:dyDescent="0.2">
      <c r="A20" s="621" t="s">
        <v>171</v>
      </c>
      <c r="B20" s="622">
        <v>0.4004577705910124</v>
      </c>
      <c r="C20" s="622">
        <v>0.42328252322525928</v>
      </c>
      <c r="D20" s="622">
        <v>0.42704541299387805</v>
      </c>
      <c r="E20" s="622">
        <v>0.43762511765873918</v>
      </c>
      <c r="F20" s="622">
        <v>0.43802421538457681</v>
      </c>
      <c r="G20" s="622">
        <v>0.43</v>
      </c>
      <c r="H20" s="623">
        <v>595091</v>
      </c>
    </row>
    <row r="21" spans="1:8" x14ac:dyDescent="0.2">
      <c r="A21" s="624" t="s">
        <v>172</v>
      </c>
      <c r="B21" s="625">
        <v>0.42497610002350189</v>
      </c>
      <c r="C21" s="625">
        <v>0.43935708555954772</v>
      </c>
      <c r="D21" s="625">
        <v>0.44920948948790984</v>
      </c>
      <c r="E21" s="625">
        <v>0.46791365024209491</v>
      </c>
      <c r="F21" s="625">
        <v>0.47547203447336001</v>
      </c>
      <c r="G21" s="625">
        <v>0.48</v>
      </c>
      <c r="H21" s="626">
        <v>26629069</v>
      </c>
    </row>
    <row r="22" spans="1:8" x14ac:dyDescent="0.2">
      <c r="A22" s="121"/>
      <c r="B22" s="229"/>
      <c r="C22" s="229"/>
      <c r="D22" s="229"/>
      <c r="E22" s="229"/>
      <c r="F22" s="229"/>
      <c r="G22" s="229"/>
      <c r="H22" s="617"/>
    </row>
    <row r="23" spans="1:8" x14ac:dyDescent="0.2">
      <c r="A23" s="49" t="s">
        <v>173</v>
      </c>
      <c r="B23" s="619"/>
      <c r="C23" s="619"/>
      <c r="D23" s="619"/>
      <c r="E23" s="619"/>
      <c r="F23" s="619"/>
      <c r="G23" s="619"/>
      <c r="H23" s="620"/>
    </row>
    <row r="24" spans="1:8" x14ac:dyDescent="0.2">
      <c r="A24" s="359" t="s">
        <v>870</v>
      </c>
      <c r="B24" s="615"/>
      <c r="C24" s="615"/>
      <c r="D24" s="615"/>
      <c r="E24" s="615"/>
      <c r="F24" s="615"/>
      <c r="G24" s="615"/>
      <c r="H24" s="615"/>
    </row>
    <row r="25" spans="1:8" x14ac:dyDescent="0.2">
      <c r="A25" s="615"/>
      <c r="B25" s="615"/>
      <c r="C25" s="615"/>
      <c r="D25" s="615"/>
      <c r="E25" s="615"/>
      <c r="F25" s="615"/>
      <c r="G25" s="615"/>
      <c r="H25" s="615"/>
    </row>
    <row r="26" spans="1:8" x14ac:dyDescent="0.2">
      <c r="A26" s="359" t="s">
        <v>946</v>
      </c>
      <c r="B26" s="615"/>
      <c r="C26" s="615"/>
      <c r="D26" s="615"/>
      <c r="E26" s="615"/>
      <c r="F26" s="615"/>
      <c r="G26" s="615"/>
      <c r="H26" s="615"/>
    </row>
  </sheetData>
  <mergeCells count="1">
    <mergeCell ref="G3:H3"/>
  </mergeCells>
  <pageMargins left="0.7" right="0.7" top="0.75" bottom="0.75" header="0.3" footer="0.3"/>
  <pageSetup paperSize="9" orientation="portrait"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I21" sqref="I21"/>
    </sheetView>
  </sheetViews>
  <sheetFormatPr baseColWidth="10" defaultRowHeight="11.25" x14ac:dyDescent="0.2"/>
  <cols>
    <col min="1" max="16384" width="11.42578125" style="2"/>
  </cols>
  <sheetData>
    <row r="1" spans="1:11" x14ac:dyDescent="0.2">
      <c r="A1" s="2" t="s">
        <v>849</v>
      </c>
    </row>
    <row r="3" spans="1:11" x14ac:dyDescent="0.2">
      <c r="A3" s="39"/>
      <c r="B3" s="39"/>
      <c r="C3" s="39" t="s">
        <v>842</v>
      </c>
      <c r="D3" s="39" t="s">
        <v>843</v>
      </c>
      <c r="E3" s="39" t="s">
        <v>844</v>
      </c>
      <c r="F3" s="39" t="s">
        <v>845</v>
      </c>
      <c r="G3" s="39" t="s">
        <v>846</v>
      </c>
      <c r="H3" s="39" t="s">
        <v>847</v>
      </c>
      <c r="I3" s="39" t="s">
        <v>848</v>
      </c>
    </row>
    <row r="4" spans="1:11" ht="30" customHeight="1" x14ac:dyDescent="0.2">
      <c r="A4" s="763" t="s">
        <v>135</v>
      </c>
      <c r="B4" s="39" t="s">
        <v>10</v>
      </c>
      <c r="C4" s="39">
        <v>1030</v>
      </c>
      <c r="D4" s="39">
        <v>11956</v>
      </c>
      <c r="E4" s="39">
        <v>31744</v>
      </c>
      <c r="F4" s="39">
        <v>24257</v>
      </c>
      <c r="G4" s="39">
        <v>15441</v>
      </c>
      <c r="H4" s="39">
        <v>7636</v>
      </c>
      <c r="I4" s="39">
        <v>1516</v>
      </c>
    </row>
    <row r="5" spans="1:11" x14ac:dyDescent="0.2">
      <c r="A5" s="763"/>
      <c r="B5" s="39" t="s">
        <v>280</v>
      </c>
      <c r="C5" s="39">
        <v>790</v>
      </c>
      <c r="D5" s="39">
        <v>12799</v>
      </c>
      <c r="E5" s="39">
        <v>39486</v>
      </c>
      <c r="F5" s="39">
        <v>43695</v>
      </c>
      <c r="G5" s="39">
        <v>31898</v>
      </c>
      <c r="H5" s="39">
        <v>16203</v>
      </c>
      <c r="I5" s="39">
        <v>3931</v>
      </c>
    </row>
    <row r="6" spans="1:11" x14ac:dyDescent="0.2">
      <c r="A6" s="763"/>
      <c r="B6" s="43" t="s">
        <v>9</v>
      </c>
      <c r="C6" s="675">
        <v>0.56593406593406592</v>
      </c>
      <c r="D6" s="675">
        <v>0.48297313674005249</v>
      </c>
      <c r="E6" s="675">
        <v>0.44565492067948898</v>
      </c>
      <c r="F6" s="675">
        <v>0.35697256887214507</v>
      </c>
      <c r="G6" s="675">
        <v>0.32617926022940913</v>
      </c>
      <c r="H6" s="675">
        <v>0.32031544947355173</v>
      </c>
      <c r="I6" s="675">
        <v>0.27831834037084635</v>
      </c>
    </row>
    <row r="7" spans="1:11" ht="30" customHeight="1" x14ac:dyDescent="0.2">
      <c r="A7" s="763" t="s">
        <v>851</v>
      </c>
      <c r="B7" s="39" t="s">
        <v>10</v>
      </c>
      <c r="C7" s="39">
        <v>1836</v>
      </c>
      <c r="D7" s="39">
        <v>6219</v>
      </c>
      <c r="E7" s="39">
        <v>14550</v>
      </c>
      <c r="F7" s="39">
        <v>10244</v>
      </c>
      <c r="G7" s="39">
        <v>6807</v>
      </c>
      <c r="H7" s="39">
        <v>3122</v>
      </c>
      <c r="I7" s="39">
        <v>1210</v>
      </c>
    </row>
    <row r="8" spans="1:11" x14ac:dyDescent="0.2">
      <c r="A8" s="763"/>
      <c r="B8" s="39" t="s">
        <v>280</v>
      </c>
      <c r="C8" s="39">
        <v>1847</v>
      </c>
      <c r="D8" s="39">
        <v>6563</v>
      </c>
      <c r="E8" s="39">
        <v>17388</v>
      </c>
      <c r="F8" s="39">
        <v>16131</v>
      </c>
      <c r="G8" s="39">
        <v>12029</v>
      </c>
      <c r="H8" s="39">
        <v>5719</v>
      </c>
      <c r="I8" s="39">
        <v>1937</v>
      </c>
    </row>
    <row r="9" spans="1:11" x14ac:dyDescent="0.2">
      <c r="A9" s="763"/>
      <c r="B9" s="43" t="s">
        <v>9</v>
      </c>
      <c r="C9" s="675">
        <v>0.49850665218571816</v>
      </c>
      <c r="D9" s="675">
        <v>0.4865435769050227</v>
      </c>
      <c r="E9" s="675">
        <v>0.45557016719894794</v>
      </c>
      <c r="F9" s="675">
        <v>0.38839810426540283</v>
      </c>
      <c r="G9" s="675">
        <v>0.36138245912083244</v>
      </c>
      <c r="H9" s="675">
        <v>0.35312747426761676</v>
      </c>
      <c r="I9" s="675">
        <v>0.38449316809659995</v>
      </c>
    </row>
    <row r="10" spans="1:11" x14ac:dyDescent="0.2">
      <c r="A10" s="676"/>
      <c r="B10" s="677"/>
      <c r="C10" s="678"/>
      <c r="D10" s="678"/>
      <c r="E10" s="678"/>
      <c r="F10" s="678"/>
      <c r="G10" s="678"/>
      <c r="H10" s="678"/>
      <c r="I10" s="678"/>
    </row>
    <row r="11" spans="1:11" ht="54.75" customHeight="1" x14ac:dyDescent="0.2">
      <c r="A11" s="764" t="s">
        <v>850</v>
      </c>
      <c r="B11" s="764"/>
      <c r="C11" s="764"/>
      <c r="D11" s="764"/>
      <c r="E11" s="764"/>
      <c r="F11" s="764"/>
      <c r="G11" s="764"/>
      <c r="H11" s="764"/>
      <c r="I11" s="764"/>
      <c r="J11" s="764"/>
      <c r="K11" s="764"/>
    </row>
    <row r="13" spans="1:11" x14ac:dyDescent="0.2">
      <c r="A13" s="2" t="s">
        <v>948</v>
      </c>
    </row>
    <row r="19" spans="3:4" x14ac:dyDescent="0.2">
      <c r="C19" s="2" t="s">
        <v>794</v>
      </c>
    </row>
    <row r="20" spans="3:4" x14ac:dyDescent="0.2">
      <c r="D20" s="2" t="s">
        <v>794</v>
      </c>
    </row>
  </sheetData>
  <mergeCells count="3">
    <mergeCell ref="A4:A6"/>
    <mergeCell ref="A7:A9"/>
    <mergeCell ref="A11:K11"/>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G20" sqref="G20"/>
    </sheetView>
  </sheetViews>
  <sheetFormatPr baseColWidth="10" defaultRowHeight="11.25" x14ac:dyDescent="0.2"/>
  <cols>
    <col min="1" max="1" width="64.5703125" style="20" customWidth="1"/>
    <col min="2" max="2" width="14.42578125" style="20" bestFit="1" customWidth="1"/>
    <col min="3" max="3" width="15.42578125" style="207" customWidth="1"/>
    <col min="4" max="16384" width="11.42578125" style="20"/>
  </cols>
  <sheetData>
    <row r="1" spans="1:5" x14ac:dyDescent="0.2">
      <c r="A1" s="503" t="s">
        <v>949</v>
      </c>
    </row>
    <row r="2" spans="1:5" x14ac:dyDescent="0.2">
      <c r="D2" s="20" t="s">
        <v>263</v>
      </c>
    </row>
    <row r="3" spans="1:5" x14ac:dyDescent="0.2">
      <c r="A3" s="19"/>
      <c r="B3" s="420" t="s">
        <v>264</v>
      </c>
      <c r="C3" s="421" t="s">
        <v>7</v>
      </c>
      <c r="D3" s="19" t="s">
        <v>4</v>
      </c>
      <c r="E3" s="19" t="s">
        <v>5</v>
      </c>
    </row>
    <row r="4" spans="1:5" x14ac:dyDescent="0.2">
      <c r="A4" s="612" t="s">
        <v>265</v>
      </c>
      <c r="B4" s="680">
        <v>195886</v>
      </c>
      <c r="C4" s="679">
        <v>0.41055511879358403</v>
      </c>
      <c r="D4" s="681">
        <v>37.119999999999997</v>
      </c>
      <c r="E4" s="681">
        <v>38.94</v>
      </c>
    </row>
    <row r="5" spans="1:5" x14ac:dyDescent="0.2">
      <c r="A5" s="20" t="s">
        <v>266</v>
      </c>
      <c r="B5" s="422">
        <v>77285</v>
      </c>
      <c r="C5" s="423">
        <v>0.42056026395807727</v>
      </c>
      <c r="D5" s="424">
        <v>35.83</v>
      </c>
      <c r="E5" s="424">
        <v>37.799999999999997</v>
      </c>
    </row>
    <row r="6" spans="1:5" x14ac:dyDescent="0.2">
      <c r="A6" s="20" t="s">
        <v>267</v>
      </c>
      <c r="B6" s="422">
        <v>25606</v>
      </c>
      <c r="C6" s="423">
        <v>0.53737405295633833</v>
      </c>
      <c r="D6" s="424">
        <v>38.4</v>
      </c>
      <c r="E6" s="424">
        <v>38.99</v>
      </c>
    </row>
    <row r="7" spans="1:5" x14ac:dyDescent="0.2">
      <c r="A7" s="20" t="s">
        <v>268</v>
      </c>
      <c r="B7" s="422">
        <v>24627</v>
      </c>
      <c r="C7" s="423">
        <v>0.46725139074998984</v>
      </c>
      <c r="D7" s="424">
        <v>37.4</v>
      </c>
      <c r="E7" s="424">
        <v>40.799999999999997</v>
      </c>
    </row>
    <row r="8" spans="1:5" x14ac:dyDescent="0.2">
      <c r="A8" s="20" t="s">
        <v>269</v>
      </c>
      <c r="B8" s="422">
        <v>21964</v>
      </c>
      <c r="C8" s="423">
        <v>0.46002549626661809</v>
      </c>
      <c r="D8" s="424">
        <v>36.85</v>
      </c>
      <c r="E8" s="424">
        <v>38.42</v>
      </c>
    </row>
    <row r="9" spans="1:5" x14ac:dyDescent="0.2">
      <c r="A9" s="20" t="s">
        <v>270</v>
      </c>
      <c r="B9" s="422">
        <v>18409</v>
      </c>
      <c r="C9" s="423">
        <v>0.24227280134716714</v>
      </c>
      <c r="D9" s="424">
        <v>36.99</v>
      </c>
      <c r="E9" s="424">
        <v>39</v>
      </c>
    </row>
    <row r="10" spans="1:5" x14ac:dyDescent="0.2">
      <c r="A10" s="20" t="s">
        <v>271</v>
      </c>
      <c r="B10" s="422">
        <v>17474</v>
      </c>
      <c r="C10" s="423">
        <v>0.41175460684445464</v>
      </c>
      <c r="D10" s="424">
        <v>38.75</v>
      </c>
      <c r="E10" s="424">
        <v>41.36</v>
      </c>
    </row>
    <row r="11" spans="1:5" x14ac:dyDescent="0.2">
      <c r="A11" s="20" t="s">
        <v>272</v>
      </c>
      <c r="B11" s="422">
        <v>11001</v>
      </c>
      <c r="C11" s="423">
        <v>0.20089082810653577</v>
      </c>
      <c r="D11" s="424">
        <v>37.520000000000003</v>
      </c>
      <c r="E11" s="424">
        <v>39.020000000000003</v>
      </c>
    </row>
    <row r="12" spans="1:5" x14ac:dyDescent="0.2">
      <c r="A12" s="20" t="s">
        <v>273</v>
      </c>
      <c r="B12" s="422">
        <v>10218</v>
      </c>
      <c r="C12" s="423">
        <v>0.22548443922489725</v>
      </c>
      <c r="D12" s="424">
        <v>35.93</v>
      </c>
      <c r="E12" s="424">
        <v>40.29</v>
      </c>
    </row>
    <row r="13" spans="1:5" x14ac:dyDescent="0.2">
      <c r="A13" s="20" t="s">
        <v>274</v>
      </c>
      <c r="B13" s="422">
        <v>7613</v>
      </c>
      <c r="C13" s="423">
        <v>0.28241166425850517</v>
      </c>
      <c r="D13" s="424">
        <v>32.65</v>
      </c>
      <c r="E13" s="424">
        <v>34.11</v>
      </c>
    </row>
    <row r="14" spans="1:5" x14ac:dyDescent="0.2">
      <c r="A14" s="20" t="s">
        <v>275</v>
      </c>
      <c r="B14" s="422">
        <v>6596</v>
      </c>
      <c r="C14" s="423">
        <v>9.3844754396604002E-2</v>
      </c>
      <c r="D14" s="424">
        <v>35.61</v>
      </c>
      <c r="E14" s="424">
        <v>39.18</v>
      </c>
    </row>
    <row r="15" spans="1:5" x14ac:dyDescent="0.2">
      <c r="A15" s="20" t="s">
        <v>276</v>
      </c>
      <c r="B15" s="422">
        <v>3500</v>
      </c>
      <c r="C15" s="423">
        <v>0.85942857142857143</v>
      </c>
      <c r="D15" s="424">
        <v>40.15</v>
      </c>
      <c r="E15" s="424">
        <v>42.3</v>
      </c>
    </row>
    <row r="17" spans="1:1" x14ac:dyDescent="0.2">
      <c r="A17" s="20" t="s">
        <v>950</v>
      </c>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A20" sqref="A20:XFD20"/>
    </sheetView>
  </sheetViews>
  <sheetFormatPr baseColWidth="10" defaultRowHeight="11.25" x14ac:dyDescent="0.2"/>
  <cols>
    <col min="1" max="1" width="53.5703125" style="627" customWidth="1"/>
    <col min="2" max="16384" width="11.42578125" style="2"/>
  </cols>
  <sheetData>
    <row r="1" spans="1:6" x14ac:dyDescent="0.2">
      <c r="A1" s="515" t="s">
        <v>174</v>
      </c>
      <c r="B1" s="615"/>
      <c r="C1" s="615"/>
      <c r="D1" s="615"/>
      <c r="E1" s="615"/>
      <c r="F1" s="615"/>
    </row>
    <row r="2" spans="1:6" x14ac:dyDescent="0.2">
      <c r="A2" s="515"/>
      <c r="B2" s="615"/>
      <c r="C2" s="615"/>
      <c r="D2" s="615"/>
      <c r="E2" s="615"/>
      <c r="F2" s="615"/>
    </row>
    <row r="3" spans="1:6" x14ac:dyDescent="0.2">
      <c r="B3" s="616" t="s">
        <v>175</v>
      </c>
      <c r="C3" s="616" t="s">
        <v>176</v>
      </c>
      <c r="D3" s="616" t="s">
        <v>127</v>
      </c>
      <c r="E3" s="762" t="s">
        <v>868</v>
      </c>
      <c r="F3" s="762"/>
    </row>
    <row r="4" spans="1:6" ht="33.75" x14ac:dyDescent="0.2">
      <c r="B4" s="500" t="s">
        <v>947</v>
      </c>
      <c r="C4" s="500" t="s">
        <v>947</v>
      </c>
      <c r="D4" s="500" t="s">
        <v>947</v>
      </c>
      <c r="E4" s="500" t="s">
        <v>947</v>
      </c>
      <c r="F4" s="616" t="s">
        <v>869</v>
      </c>
    </row>
    <row r="5" spans="1:6" x14ac:dyDescent="0.2">
      <c r="A5" s="359" t="s">
        <v>134</v>
      </c>
      <c r="B5" s="619">
        <v>0.41534725463709304</v>
      </c>
      <c r="C5" s="619">
        <v>0.39246606973663384</v>
      </c>
      <c r="D5" s="619">
        <v>0.45424964449702449</v>
      </c>
      <c r="E5" s="619">
        <v>0.42308277279014012</v>
      </c>
      <c r="F5" s="620">
        <v>70047.883333333331</v>
      </c>
    </row>
    <row r="6" spans="1:6" x14ac:dyDescent="0.2">
      <c r="A6" s="359" t="s">
        <v>177</v>
      </c>
      <c r="B6" s="619">
        <v>0.48623709524477138</v>
      </c>
      <c r="C6" s="619">
        <v>0.55866758337233924</v>
      </c>
      <c r="D6" s="619">
        <v>0.51225316592145154</v>
      </c>
      <c r="E6" s="619">
        <v>0.45739658069114708</v>
      </c>
      <c r="F6" s="620">
        <v>60150.610000000008</v>
      </c>
    </row>
    <row r="7" spans="1:6" x14ac:dyDescent="0.2">
      <c r="A7" s="359" t="s">
        <v>178</v>
      </c>
      <c r="B7" s="619">
        <v>0.50216785099049843</v>
      </c>
      <c r="C7" s="619">
        <v>0.49630159644372601</v>
      </c>
      <c r="D7" s="619">
        <v>0.48554464509861162</v>
      </c>
      <c r="E7" s="619">
        <v>0.50718800882509585</v>
      </c>
      <c r="F7" s="620">
        <v>26363.503333333338</v>
      </c>
    </row>
    <row r="8" spans="1:6" x14ac:dyDescent="0.2">
      <c r="A8" s="359" t="s">
        <v>179</v>
      </c>
      <c r="B8" s="619">
        <v>0.26679934328149874</v>
      </c>
      <c r="C8" s="619">
        <v>0.45704484071873486</v>
      </c>
      <c r="D8" s="619">
        <v>0.49470882153714524</v>
      </c>
      <c r="E8" s="619">
        <v>0.39332370776557402</v>
      </c>
      <c r="F8" s="620">
        <v>7499.38</v>
      </c>
    </row>
    <row r="9" spans="1:6" x14ac:dyDescent="0.2">
      <c r="A9" s="359" t="s">
        <v>180</v>
      </c>
      <c r="B9" s="619">
        <v>0.48464499154695556</v>
      </c>
      <c r="C9" s="619">
        <v>0.45207758107476526</v>
      </c>
      <c r="D9" s="619">
        <v>0.48917495326279481</v>
      </c>
      <c r="E9" s="619">
        <v>0.41978861557153629</v>
      </c>
      <c r="F9" s="620">
        <v>33273.563333333332</v>
      </c>
    </row>
    <row r="10" spans="1:6" x14ac:dyDescent="0.2">
      <c r="A10" s="359" t="s">
        <v>181</v>
      </c>
      <c r="B10" s="619">
        <v>0.42179708619087347</v>
      </c>
      <c r="C10" s="619">
        <v>0.50940465441513227</v>
      </c>
      <c r="D10" s="619">
        <v>0.56824410303695594</v>
      </c>
      <c r="E10" s="619">
        <v>0.49629451467306679</v>
      </c>
      <c r="F10" s="620">
        <v>29614.316666666669</v>
      </c>
    </row>
    <row r="11" spans="1:6" x14ac:dyDescent="0.2">
      <c r="A11" s="359" t="s">
        <v>182</v>
      </c>
      <c r="B11" s="619">
        <v>0.3442954710085499</v>
      </c>
      <c r="C11" s="619">
        <v>0.3523726635123498</v>
      </c>
      <c r="D11" s="619">
        <v>0.34624124683316293</v>
      </c>
      <c r="E11" s="619">
        <v>0.33474047088315045</v>
      </c>
      <c r="F11" s="620">
        <v>59127.860000000008</v>
      </c>
    </row>
    <row r="12" spans="1:6" x14ac:dyDescent="0.2">
      <c r="A12" s="359" t="s">
        <v>183</v>
      </c>
      <c r="B12" s="619">
        <v>0.66144658622017427</v>
      </c>
      <c r="C12" s="619">
        <v>0.67332931428023668</v>
      </c>
      <c r="D12" s="619">
        <v>0.68545638235864947</v>
      </c>
      <c r="E12" s="619">
        <v>0.63827581441977743</v>
      </c>
      <c r="F12" s="620">
        <v>43801.403333333328</v>
      </c>
    </row>
    <row r="13" spans="1:6" x14ac:dyDescent="0.2">
      <c r="A13" s="359" t="s">
        <v>136</v>
      </c>
      <c r="B13" s="619">
        <v>0.56440167595376189</v>
      </c>
      <c r="C13" s="619">
        <v>0.56051892586911889</v>
      </c>
      <c r="D13" s="619">
        <v>0.59461170072163672</v>
      </c>
      <c r="E13" s="619">
        <v>0.67396607676473863</v>
      </c>
      <c r="F13" s="620">
        <v>52370.633333333331</v>
      </c>
    </row>
    <row r="14" spans="1:6" x14ac:dyDescent="0.2">
      <c r="A14" s="359" t="s">
        <v>184</v>
      </c>
      <c r="B14" s="619">
        <v>0.32108094873714782</v>
      </c>
      <c r="C14" s="619">
        <v>0.30912330622920581</v>
      </c>
      <c r="D14" s="619">
        <v>0.39656041195701841</v>
      </c>
      <c r="E14" s="619">
        <v>0.4142665249466162</v>
      </c>
      <c r="F14" s="620">
        <v>17037.833333333332</v>
      </c>
    </row>
    <row r="15" spans="1:6" x14ac:dyDescent="0.2">
      <c r="A15" s="359" t="s">
        <v>185</v>
      </c>
      <c r="B15" s="619">
        <v>0.55193507491292737</v>
      </c>
      <c r="C15" s="619">
        <v>0.51380882604837808</v>
      </c>
      <c r="D15" s="619">
        <v>0.50234839535013376</v>
      </c>
      <c r="E15" s="619">
        <v>0.55624108577879217</v>
      </c>
      <c r="F15" s="620">
        <v>73020.136666666658</v>
      </c>
    </row>
    <row r="16" spans="1:6" x14ac:dyDescent="0.2">
      <c r="A16" s="359" t="s">
        <v>186</v>
      </c>
      <c r="B16" s="619">
        <v>0.50464253688287053</v>
      </c>
      <c r="C16" s="619">
        <v>0.48269190367561338</v>
      </c>
      <c r="D16" s="619">
        <v>0.45577730190156929</v>
      </c>
      <c r="E16" s="619">
        <v>0.45277606868872528</v>
      </c>
      <c r="F16" s="620">
        <v>70325.396666666667</v>
      </c>
    </row>
    <row r="17" spans="1:6" x14ac:dyDescent="0.2">
      <c r="A17" s="359" t="s">
        <v>135</v>
      </c>
      <c r="B17" s="619">
        <v>0.40906807521352584</v>
      </c>
      <c r="C17" s="619">
        <v>0.42902900127670818</v>
      </c>
      <c r="D17" s="619">
        <v>0.43652738383877665</v>
      </c>
      <c r="E17" s="619">
        <v>0.47104948859313495</v>
      </c>
      <c r="F17" s="620">
        <v>93113.423333333325</v>
      </c>
    </row>
    <row r="18" spans="1:6" x14ac:dyDescent="0.2">
      <c r="A18" s="624" t="s">
        <v>187</v>
      </c>
      <c r="B18" s="625">
        <v>0.47699350839890214</v>
      </c>
      <c r="C18" s="625">
        <v>0.47518093643765075</v>
      </c>
      <c r="D18" s="625">
        <v>0.48697942942085348</v>
      </c>
      <c r="E18" s="625">
        <v>0.48307227259996671</v>
      </c>
      <c r="F18" s="626">
        <v>635745.94333333336</v>
      </c>
    </row>
    <row r="19" spans="1:6" x14ac:dyDescent="0.2">
      <c r="A19" s="624" t="s">
        <v>871</v>
      </c>
      <c r="B19" s="625">
        <v>0.47387656003916767</v>
      </c>
      <c r="C19" s="625">
        <v>0.47482395856336262</v>
      </c>
      <c r="D19" s="625">
        <v>0.47792619289440141</v>
      </c>
      <c r="E19" s="625">
        <v>0.47690440211524304</v>
      </c>
      <c r="F19" s="626">
        <v>26629068.640000001</v>
      </c>
    </row>
    <row r="20" spans="1:6" x14ac:dyDescent="0.2">
      <c r="A20" s="49" t="s">
        <v>173</v>
      </c>
      <c r="B20" s="619"/>
      <c r="C20" s="619"/>
      <c r="D20" s="619"/>
      <c r="E20" s="619"/>
      <c r="F20" s="620"/>
    </row>
    <row r="21" spans="1:6" x14ac:dyDescent="0.2">
      <c r="A21" s="359" t="s">
        <v>872</v>
      </c>
      <c r="B21" s="615"/>
      <c r="C21" s="615"/>
      <c r="D21" s="615"/>
      <c r="E21" s="615"/>
      <c r="F21" s="615"/>
    </row>
    <row r="22" spans="1:6" x14ac:dyDescent="0.2">
      <c r="B22" s="615"/>
      <c r="C22" s="615"/>
      <c r="D22" s="615"/>
      <c r="E22" s="615"/>
      <c r="F22" s="615"/>
    </row>
    <row r="23" spans="1:6" x14ac:dyDescent="0.2">
      <c r="A23" s="359" t="s">
        <v>951</v>
      </c>
      <c r="B23" s="615"/>
      <c r="C23" s="615"/>
      <c r="D23" s="615"/>
      <c r="E23" s="615"/>
      <c r="F23" s="615"/>
    </row>
  </sheetData>
  <mergeCells count="1">
    <mergeCell ref="E3:F3"/>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D29" sqref="D29"/>
    </sheetView>
  </sheetViews>
  <sheetFormatPr baseColWidth="10" defaultRowHeight="11.25" x14ac:dyDescent="0.2"/>
  <cols>
    <col min="1" max="1" width="54.7109375" style="2" customWidth="1"/>
    <col min="2" max="2" width="11.42578125" style="2"/>
    <col min="3" max="3" width="15.85546875" style="2" bestFit="1" customWidth="1"/>
    <col min="4" max="4" width="18" style="2" customWidth="1"/>
    <col min="5" max="6" width="11.42578125" style="2"/>
    <col min="7" max="7" width="16.42578125" style="2" customWidth="1"/>
    <col min="8" max="10" width="15.85546875" style="2" bestFit="1" customWidth="1"/>
    <col min="11" max="16384" width="11.42578125" style="2"/>
  </cols>
  <sheetData>
    <row r="1" spans="1:10" x14ac:dyDescent="0.2">
      <c r="A1" s="19" t="s">
        <v>96</v>
      </c>
      <c r="B1" s="19"/>
      <c r="C1" s="20"/>
      <c r="D1" s="20"/>
      <c r="E1" s="20"/>
      <c r="F1" s="20"/>
      <c r="G1" s="20"/>
    </row>
    <row r="2" spans="1:10" ht="12" thickBot="1" x14ac:dyDescent="0.25">
      <c r="A2" s="19"/>
      <c r="B2" s="19"/>
      <c r="C2" s="20"/>
      <c r="D2" s="20"/>
      <c r="E2" s="20"/>
      <c r="F2" s="20"/>
      <c r="G2" s="20"/>
    </row>
    <row r="3" spans="1:10" x14ac:dyDescent="0.2">
      <c r="A3" s="425"/>
      <c r="B3" s="765">
        <v>2016</v>
      </c>
      <c r="C3" s="766"/>
      <c r="D3" s="767"/>
      <c r="E3" s="765">
        <v>2015</v>
      </c>
      <c r="F3" s="766"/>
      <c r="G3" s="767"/>
      <c r="H3" s="426">
        <v>2014</v>
      </c>
      <c r="I3" s="427">
        <v>2013</v>
      </c>
      <c r="J3" s="428">
        <v>2012</v>
      </c>
    </row>
    <row r="4" spans="1:10" ht="56.25" x14ac:dyDescent="0.2">
      <c r="A4" s="429"/>
      <c r="B4" s="38" t="s">
        <v>97</v>
      </c>
      <c r="C4" s="70" t="s">
        <v>7</v>
      </c>
      <c r="D4" s="430" t="s">
        <v>98</v>
      </c>
      <c r="E4" s="38" t="s">
        <v>97</v>
      </c>
      <c r="F4" s="431" t="s">
        <v>7</v>
      </c>
      <c r="G4" s="430" t="s">
        <v>98</v>
      </c>
      <c r="H4" s="70" t="s">
        <v>7</v>
      </c>
      <c r="I4" s="70" t="s">
        <v>7</v>
      </c>
      <c r="J4" s="432" t="s">
        <v>7</v>
      </c>
    </row>
    <row r="5" spans="1:10" x14ac:dyDescent="0.2">
      <c r="A5" s="433" t="s">
        <v>99</v>
      </c>
      <c r="B5" s="434">
        <v>1021</v>
      </c>
      <c r="C5" s="232">
        <v>0.65915768854064638</v>
      </c>
      <c r="D5" s="31">
        <v>-0.12254283137962128</v>
      </c>
      <c r="E5" s="435">
        <v>1095</v>
      </c>
      <c r="F5" s="232">
        <v>0.66849315068493154</v>
      </c>
      <c r="G5" s="31">
        <v>-0.16270172168538774</v>
      </c>
      <c r="H5" s="232">
        <v>0.67724388032638261</v>
      </c>
      <c r="I5" s="232">
        <v>0.67</v>
      </c>
      <c r="J5" s="436">
        <v>0.67800000000000005</v>
      </c>
    </row>
    <row r="6" spans="1:10" x14ac:dyDescent="0.2">
      <c r="A6" s="433" t="s">
        <v>100</v>
      </c>
      <c r="B6" s="434">
        <v>2593</v>
      </c>
      <c r="C6" s="232">
        <v>0.49132279213266489</v>
      </c>
      <c r="D6" s="31">
        <v>-0.17636396592350914</v>
      </c>
      <c r="E6" s="435">
        <v>2675</v>
      </c>
      <c r="F6" s="232">
        <v>0.49495327102803738</v>
      </c>
      <c r="G6" s="31">
        <v>-0.12500670924802748</v>
      </c>
      <c r="H6" s="232">
        <v>0.49742981415579279</v>
      </c>
      <c r="I6" s="232">
        <v>0.49</v>
      </c>
      <c r="J6" s="436">
        <v>0.49490000000000001</v>
      </c>
    </row>
    <row r="7" spans="1:10" x14ac:dyDescent="0.2">
      <c r="A7" s="433" t="s">
        <v>101</v>
      </c>
      <c r="B7" s="434">
        <v>3532</v>
      </c>
      <c r="C7" s="232">
        <v>0.43120045300113252</v>
      </c>
      <c r="D7" s="31">
        <v>-0.22918267998975148</v>
      </c>
      <c r="E7" s="435">
        <v>4012</v>
      </c>
      <c r="F7" s="232">
        <v>0.42173479561316052</v>
      </c>
      <c r="G7" s="31">
        <v>-0.21423531638816706</v>
      </c>
      <c r="H7" s="232">
        <v>0.42201128783991793</v>
      </c>
      <c r="I7" s="232">
        <v>0.43</v>
      </c>
      <c r="J7" s="436">
        <v>0.43140000000000001</v>
      </c>
    </row>
    <row r="8" spans="1:10" x14ac:dyDescent="0.2">
      <c r="A8" s="433" t="s">
        <v>102</v>
      </c>
      <c r="B8" s="434">
        <v>1596</v>
      </c>
      <c r="C8" s="232">
        <v>0.38784461152882205</v>
      </c>
      <c r="D8" s="31">
        <v>-0.20857504252627906</v>
      </c>
      <c r="E8" s="435">
        <v>1681</v>
      </c>
      <c r="F8" s="232">
        <v>0.3819155264723379</v>
      </c>
      <c r="G8" s="31">
        <v>-0.19729220967274833</v>
      </c>
      <c r="H8" s="232">
        <v>0.3794135248354279</v>
      </c>
      <c r="I8" s="232">
        <v>0.37</v>
      </c>
      <c r="J8" s="436">
        <v>0.37330000000000002</v>
      </c>
    </row>
    <row r="9" spans="1:10" x14ac:dyDescent="0.2">
      <c r="A9" s="433" t="s">
        <v>103</v>
      </c>
      <c r="B9" s="434">
        <v>4062</v>
      </c>
      <c r="C9" s="232">
        <v>0.23042836041358936</v>
      </c>
      <c r="D9" s="31">
        <v>-0.29954485112838991</v>
      </c>
      <c r="E9" s="435">
        <v>4365</v>
      </c>
      <c r="F9" s="232">
        <v>0.22840778923253149</v>
      </c>
      <c r="G9" s="31">
        <v>-0.25865607414763325</v>
      </c>
      <c r="H9" s="232">
        <v>0.22634032634032633</v>
      </c>
      <c r="I9" s="232">
        <v>0.22</v>
      </c>
      <c r="J9" s="436">
        <v>0.216</v>
      </c>
    </row>
    <row r="10" spans="1:10" x14ac:dyDescent="0.2">
      <c r="A10" s="433" t="s">
        <v>104</v>
      </c>
      <c r="B10" s="434">
        <v>580</v>
      </c>
      <c r="C10" s="232">
        <v>0.20172413793103447</v>
      </c>
      <c r="D10" s="31">
        <v>-0.2473131678140868</v>
      </c>
      <c r="E10" s="435">
        <v>647</v>
      </c>
      <c r="F10" s="232">
        <v>0.20401854714064915</v>
      </c>
      <c r="G10" s="31">
        <v>-0.36710685847232688</v>
      </c>
      <c r="H10" s="232">
        <v>0.21009771986970685</v>
      </c>
      <c r="I10" s="232">
        <v>0.2</v>
      </c>
      <c r="J10" s="436">
        <v>0.1933</v>
      </c>
    </row>
    <row r="11" spans="1:10" x14ac:dyDescent="0.2">
      <c r="A11" s="433" t="s">
        <v>105</v>
      </c>
      <c r="B11" s="434">
        <v>1143</v>
      </c>
      <c r="C11" s="232">
        <v>0.10936132983377078</v>
      </c>
      <c r="D11" s="31">
        <v>-0.44025108008264979</v>
      </c>
      <c r="E11" s="435">
        <v>1300</v>
      </c>
      <c r="F11" s="232">
        <v>0.11076923076923077</v>
      </c>
      <c r="G11" s="31">
        <v>-0.46950774047660465</v>
      </c>
      <c r="H11" s="232">
        <v>0.10473235065942592</v>
      </c>
      <c r="I11" s="232">
        <v>0.12</v>
      </c>
      <c r="J11" s="436">
        <v>0.1328</v>
      </c>
    </row>
    <row r="12" spans="1:10" x14ac:dyDescent="0.2">
      <c r="A12" s="437" t="s">
        <v>106</v>
      </c>
      <c r="B12" s="438">
        <v>14527</v>
      </c>
      <c r="C12" s="233">
        <v>0.36256625593722036</v>
      </c>
      <c r="D12" s="105">
        <v>-0.28440629470672391</v>
      </c>
      <c r="E12" s="439">
        <v>15775</v>
      </c>
      <c r="F12" s="233">
        <v>0.35898573692551505</v>
      </c>
      <c r="G12" s="105">
        <v>-0.28486036995832781</v>
      </c>
      <c r="H12" s="233">
        <v>0.35851630505391713</v>
      </c>
      <c r="I12" s="233">
        <v>0.36</v>
      </c>
      <c r="J12" s="440">
        <v>0.3584</v>
      </c>
    </row>
    <row r="13" spans="1:10" x14ac:dyDescent="0.2">
      <c r="A13" s="441" t="s">
        <v>107</v>
      </c>
      <c r="B13" s="442">
        <v>472</v>
      </c>
      <c r="C13" s="443">
        <v>0.90677966101694918</v>
      </c>
      <c r="D13" s="444">
        <v>-0.17323164348736353</v>
      </c>
      <c r="E13" s="445">
        <v>507</v>
      </c>
      <c r="F13" s="443">
        <v>0.903353057199211</v>
      </c>
      <c r="G13" s="444">
        <v>-0.1080350547310456</v>
      </c>
      <c r="H13" s="443">
        <v>0.9028571428571428</v>
      </c>
      <c r="I13" s="443">
        <v>0.9</v>
      </c>
      <c r="J13" s="446">
        <v>0.89480000000000004</v>
      </c>
    </row>
    <row r="14" spans="1:10" x14ac:dyDescent="0.2">
      <c r="A14" s="433" t="s">
        <v>108</v>
      </c>
      <c r="B14" s="434">
        <v>303</v>
      </c>
      <c r="C14" s="232">
        <v>0.60396039603960394</v>
      </c>
      <c r="D14" s="31">
        <v>-0.23725278676734987</v>
      </c>
      <c r="E14" s="435">
        <v>323</v>
      </c>
      <c r="F14" s="232">
        <v>0.60371517027863775</v>
      </c>
      <c r="G14" s="31">
        <v>-0.30354596444528947</v>
      </c>
      <c r="H14" s="232">
        <v>0.58682634730538918</v>
      </c>
      <c r="I14" s="232">
        <v>0.54</v>
      </c>
      <c r="J14" s="436">
        <v>0.56459999999999999</v>
      </c>
    </row>
    <row r="15" spans="1:10" x14ac:dyDescent="0.2">
      <c r="A15" s="433" t="s">
        <v>109</v>
      </c>
      <c r="B15" s="434">
        <v>1518</v>
      </c>
      <c r="C15" s="232">
        <v>0.48287220026350464</v>
      </c>
      <c r="D15" s="31">
        <v>-0.28418366118508176</v>
      </c>
      <c r="E15" s="435">
        <v>1599</v>
      </c>
      <c r="F15" s="232">
        <v>0.48217636022514071</v>
      </c>
      <c r="G15" s="31">
        <v>-0.27290443472829484</v>
      </c>
      <c r="H15" s="232">
        <v>0.47527296082209375</v>
      </c>
      <c r="I15" s="232">
        <v>0.46</v>
      </c>
      <c r="J15" s="436">
        <v>0.4587</v>
      </c>
    </row>
    <row r="16" spans="1:10" x14ac:dyDescent="0.2">
      <c r="A16" s="433" t="s">
        <v>110</v>
      </c>
      <c r="B16" s="434">
        <v>12035</v>
      </c>
      <c r="C16" s="232">
        <v>0.46073950976319067</v>
      </c>
      <c r="D16" s="31">
        <v>-0.14920451348732536</v>
      </c>
      <c r="E16" s="435">
        <v>12208</v>
      </c>
      <c r="F16" s="232">
        <v>0.45912516382699869</v>
      </c>
      <c r="G16" s="31">
        <v>-0.1751188589540412</v>
      </c>
      <c r="H16" s="232">
        <v>0.45499877380855064</v>
      </c>
      <c r="I16" s="232">
        <v>0.43</v>
      </c>
      <c r="J16" s="436">
        <v>0.44400000000000001</v>
      </c>
    </row>
    <row r="17" spans="1:10" x14ac:dyDescent="0.2">
      <c r="A17" s="433" t="s">
        <v>111</v>
      </c>
      <c r="B17" s="434">
        <v>5315</v>
      </c>
      <c r="C17" s="232">
        <v>0.43405456255879588</v>
      </c>
      <c r="D17" s="31">
        <v>-0.26665355685561182</v>
      </c>
      <c r="E17" s="435">
        <v>5698</v>
      </c>
      <c r="F17" s="232">
        <v>0.42839592839592838</v>
      </c>
      <c r="G17" s="31">
        <v>-0.26942545530449302</v>
      </c>
      <c r="H17" s="232">
        <v>0.42791016629521689</v>
      </c>
      <c r="I17" s="232">
        <v>0.42</v>
      </c>
      <c r="J17" s="436">
        <v>0.4158</v>
      </c>
    </row>
    <row r="18" spans="1:10" x14ac:dyDescent="0.2">
      <c r="A18" s="433" t="s">
        <v>112</v>
      </c>
      <c r="B18" s="434">
        <v>2083</v>
      </c>
      <c r="C18" s="232">
        <v>0.41190590494479118</v>
      </c>
      <c r="D18" s="31">
        <v>-0.25385714285714284</v>
      </c>
      <c r="E18" s="435">
        <v>2167</v>
      </c>
      <c r="F18" s="232">
        <v>0.40424550069220122</v>
      </c>
      <c r="G18" s="31">
        <v>-0.29743824336688013</v>
      </c>
      <c r="H18" s="232">
        <v>0.39465191332411248</v>
      </c>
      <c r="I18" s="232">
        <v>0.37</v>
      </c>
      <c r="J18" s="436">
        <v>0.38740000000000002</v>
      </c>
    </row>
    <row r="19" spans="1:10" x14ac:dyDescent="0.2">
      <c r="A19" s="433" t="s">
        <v>113</v>
      </c>
      <c r="B19" s="434">
        <v>644</v>
      </c>
      <c r="C19" s="232">
        <v>0.36801242236024845</v>
      </c>
      <c r="D19" s="31">
        <v>-0.18722528757130832</v>
      </c>
      <c r="E19" s="435">
        <v>655</v>
      </c>
      <c r="F19" s="232">
        <v>0.36641221374045801</v>
      </c>
      <c r="G19" s="31">
        <v>-0.15560916767189384</v>
      </c>
      <c r="H19" s="232">
        <v>0.36826347305389223</v>
      </c>
      <c r="I19" s="232">
        <v>0.36</v>
      </c>
      <c r="J19" s="436">
        <v>0.378</v>
      </c>
    </row>
    <row r="20" spans="1:10" x14ac:dyDescent="0.2">
      <c r="A20" s="433" t="s">
        <v>114</v>
      </c>
      <c r="B20" s="434">
        <v>1699</v>
      </c>
      <c r="C20" s="232">
        <v>0.37610359034726309</v>
      </c>
      <c r="D20" s="31">
        <v>-0.24172645987415831</v>
      </c>
      <c r="E20" s="435">
        <v>1798</v>
      </c>
      <c r="F20" s="232">
        <v>0.37597330367074527</v>
      </c>
      <c r="G20" s="31">
        <v>-0.30694261936049061</v>
      </c>
      <c r="H20" s="232">
        <v>0.36742424242424243</v>
      </c>
      <c r="I20" s="232">
        <v>0.35</v>
      </c>
      <c r="J20" s="436">
        <v>0.36520000000000002</v>
      </c>
    </row>
    <row r="21" spans="1:10" ht="12" thickBot="1" x14ac:dyDescent="0.25">
      <c r="A21" s="447" t="s">
        <v>115</v>
      </c>
      <c r="B21" s="448">
        <v>24069</v>
      </c>
      <c r="C21" s="449">
        <v>0.4541110972620383</v>
      </c>
      <c r="D21" s="450">
        <v>-0.21288079773122312</v>
      </c>
      <c r="E21" s="451">
        <v>24955</v>
      </c>
      <c r="F21" s="449">
        <v>0.45129232618713683</v>
      </c>
      <c r="G21" s="450">
        <v>-0.22826251896813354</v>
      </c>
      <c r="H21" s="449">
        <v>0.44713315055429731</v>
      </c>
      <c r="I21" s="449">
        <v>0.43</v>
      </c>
      <c r="J21" s="452">
        <v>0.436</v>
      </c>
    </row>
    <row r="22" spans="1:10" x14ac:dyDescent="0.2">
      <c r="A22" s="359" t="s">
        <v>116</v>
      </c>
      <c r="B22" s="49"/>
      <c r="C22" s="19"/>
      <c r="D22" s="230"/>
      <c r="E22" s="230"/>
      <c r="F22" s="230"/>
      <c r="G22" s="230"/>
    </row>
    <row r="23" spans="1:10" x14ac:dyDescent="0.2">
      <c r="A23" s="20" t="s">
        <v>117</v>
      </c>
      <c r="B23" s="20"/>
      <c r="C23" s="20"/>
      <c r="D23" s="20"/>
      <c r="E23" s="20"/>
      <c r="F23" s="20"/>
      <c r="G23" s="20"/>
    </row>
    <row r="24" spans="1:10" x14ac:dyDescent="0.2">
      <c r="A24" s="20"/>
      <c r="B24" s="20"/>
      <c r="C24" s="20"/>
      <c r="D24" s="20"/>
      <c r="E24" s="20"/>
      <c r="F24" s="20"/>
      <c r="G24" s="20"/>
    </row>
    <row r="25" spans="1:10" x14ac:dyDescent="0.2">
      <c r="A25" s="20" t="s">
        <v>952</v>
      </c>
      <c r="B25" s="20"/>
      <c r="C25" s="20"/>
      <c r="D25" s="20"/>
      <c r="E25" s="20"/>
      <c r="F25" s="20"/>
      <c r="G25" s="20"/>
    </row>
  </sheetData>
  <mergeCells count="2">
    <mergeCell ref="B3:D3"/>
    <mergeCell ref="E3:G3"/>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K8" sqref="K8"/>
    </sheetView>
  </sheetViews>
  <sheetFormatPr baseColWidth="10" defaultRowHeight="11.25" x14ac:dyDescent="0.2"/>
  <cols>
    <col min="1" max="1" width="11.42578125" style="2"/>
    <col min="2" max="2" width="17.85546875" style="2" customWidth="1"/>
    <col min="3" max="3" width="16.42578125" style="2" customWidth="1"/>
    <col min="4" max="4" width="19.7109375" style="2" customWidth="1"/>
    <col min="5" max="5" width="11.42578125" style="2"/>
    <col min="6" max="6" width="17.5703125" style="2" customWidth="1"/>
    <col min="7" max="16384" width="11.42578125" style="2"/>
  </cols>
  <sheetData>
    <row r="1" spans="1:8" x14ac:dyDescent="0.2">
      <c r="A1" s="15" t="s">
        <v>612</v>
      </c>
    </row>
    <row r="2" spans="1:8" x14ac:dyDescent="0.2">
      <c r="A2" s="15"/>
    </row>
    <row r="3" spans="1:8" ht="56.25" x14ac:dyDescent="0.2">
      <c r="B3" s="457">
        <v>2017</v>
      </c>
      <c r="C3" s="458" t="s">
        <v>611</v>
      </c>
      <c r="D3" s="459"/>
      <c r="E3" s="458" t="s">
        <v>613</v>
      </c>
      <c r="F3" s="459"/>
      <c r="G3" s="458" t="s">
        <v>614</v>
      </c>
      <c r="H3" s="463"/>
    </row>
    <row r="4" spans="1:8" x14ac:dyDescent="0.2">
      <c r="B4" s="453"/>
      <c r="C4" s="465" t="s">
        <v>97</v>
      </c>
      <c r="D4" s="466" t="s">
        <v>281</v>
      </c>
      <c r="E4" s="465" t="s">
        <v>97</v>
      </c>
      <c r="F4" s="466" t="s">
        <v>281</v>
      </c>
      <c r="G4" s="465" t="s">
        <v>97</v>
      </c>
      <c r="H4" s="466" t="s">
        <v>281</v>
      </c>
    </row>
    <row r="5" spans="1:8" x14ac:dyDescent="0.2">
      <c r="B5" s="453" t="s">
        <v>135</v>
      </c>
      <c r="C5" s="453">
        <v>1092</v>
      </c>
      <c r="D5" s="460">
        <v>0.41</v>
      </c>
      <c r="E5" s="453">
        <v>5674</v>
      </c>
      <c r="F5" s="460"/>
      <c r="G5" s="453">
        <v>1180</v>
      </c>
      <c r="H5" s="460"/>
    </row>
    <row r="6" spans="1:8" x14ac:dyDescent="0.2">
      <c r="B6" s="454" t="s">
        <v>649</v>
      </c>
      <c r="C6" s="455">
        <v>64</v>
      </c>
      <c r="D6" s="461">
        <v>0.375</v>
      </c>
      <c r="E6" s="455">
        <v>96</v>
      </c>
      <c r="F6" s="460">
        <v>0.3</v>
      </c>
      <c r="G6" s="455">
        <v>28</v>
      </c>
      <c r="H6" s="460">
        <v>0.46</v>
      </c>
    </row>
    <row r="7" spans="1:8" x14ac:dyDescent="0.2">
      <c r="B7" s="454" t="s">
        <v>282</v>
      </c>
      <c r="C7" s="455">
        <v>62</v>
      </c>
      <c r="D7" s="461">
        <v>0.35483870967741937</v>
      </c>
      <c r="E7" s="455">
        <v>66</v>
      </c>
      <c r="F7" s="460">
        <v>0.48</v>
      </c>
      <c r="G7" s="455">
        <v>22</v>
      </c>
      <c r="H7" s="460">
        <v>0.32</v>
      </c>
    </row>
    <row r="8" spans="1:8" x14ac:dyDescent="0.2">
      <c r="B8" s="454" t="s">
        <v>283</v>
      </c>
      <c r="C8" s="455">
        <v>154</v>
      </c>
      <c r="D8" s="461">
        <v>0.44155844155844154</v>
      </c>
      <c r="E8" s="455">
        <v>1281</v>
      </c>
      <c r="F8" s="460">
        <v>0.43</v>
      </c>
      <c r="G8" s="455">
        <v>232</v>
      </c>
      <c r="H8" s="460">
        <v>0.34</v>
      </c>
    </row>
    <row r="9" spans="1:8" x14ac:dyDescent="0.2">
      <c r="B9" s="454" t="s">
        <v>284</v>
      </c>
      <c r="C9" s="455">
        <v>122</v>
      </c>
      <c r="D9" s="461">
        <v>0.37704918032786883</v>
      </c>
      <c r="E9" s="456"/>
      <c r="F9" s="462" t="s">
        <v>79</v>
      </c>
      <c r="G9" s="456"/>
      <c r="H9" s="464" t="s">
        <v>79</v>
      </c>
    </row>
    <row r="10" spans="1:8" x14ac:dyDescent="0.2">
      <c r="B10" s="454" t="s">
        <v>285</v>
      </c>
      <c r="C10" s="455">
        <v>41</v>
      </c>
      <c r="D10" s="461">
        <v>0.48780487804878048</v>
      </c>
      <c r="E10" s="455">
        <v>129</v>
      </c>
      <c r="F10" s="460">
        <v>0.3</v>
      </c>
      <c r="G10" s="455">
        <v>50</v>
      </c>
      <c r="H10" s="460">
        <v>0.24</v>
      </c>
    </row>
    <row r="11" spans="1:8" x14ac:dyDescent="0.2">
      <c r="B11" s="454" t="s">
        <v>286</v>
      </c>
      <c r="C11" s="455">
        <v>39</v>
      </c>
      <c r="D11" s="461">
        <v>0.15384615384615385</v>
      </c>
      <c r="E11" s="455">
        <v>1247</v>
      </c>
      <c r="F11" s="460">
        <v>0.17</v>
      </c>
      <c r="G11" s="455">
        <v>246</v>
      </c>
      <c r="H11" s="460">
        <v>0.12</v>
      </c>
    </row>
    <row r="12" spans="1:8" x14ac:dyDescent="0.2">
      <c r="B12" s="454" t="s">
        <v>287</v>
      </c>
      <c r="C12" s="455">
        <v>610</v>
      </c>
      <c r="D12" s="461">
        <v>0.43114754098360658</v>
      </c>
      <c r="E12" s="455">
        <v>2855</v>
      </c>
      <c r="F12" s="460">
        <v>0.35</v>
      </c>
      <c r="G12" s="455">
        <v>602</v>
      </c>
      <c r="H12" s="460">
        <v>0.3</v>
      </c>
    </row>
    <row r="13" spans="1:8" x14ac:dyDescent="0.2">
      <c r="B13" s="453" t="s">
        <v>245</v>
      </c>
      <c r="C13" s="453">
        <v>670</v>
      </c>
      <c r="D13" s="460">
        <v>0.33</v>
      </c>
      <c r="E13" s="453">
        <v>1350</v>
      </c>
      <c r="F13" s="460"/>
      <c r="G13" s="453">
        <v>800</v>
      </c>
      <c r="H13" s="460"/>
    </row>
    <row r="14" spans="1:8" x14ac:dyDescent="0.2">
      <c r="B14" s="454" t="s">
        <v>288</v>
      </c>
      <c r="C14" s="455">
        <v>145</v>
      </c>
      <c r="D14" s="461">
        <v>0.3724137931034483</v>
      </c>
      <c r="E14" s="455">
        <v>261</v>
      </c>
      <c r="F14" s="460">
        <v>0.33</v>
      </c>
      <c r="G14" s="455">
        <v>123</v>
      </c>
      <c r="H14" s="460">
        <v>0.26</v>
      </c>
    </row>
    <row r="15" spans="1:8" x14ac:dyDescent="0.2">
      <c r="B15" s="454" t="s">
        <v>289</v>
      </c>
      <c r="C15" s="455">
        <v>233</v>
      </c>
      <c r="D15" s="461">
        <v>0.37768240343347642</v>
      </c>
      <c r="E15" s="455">
        <v>656</v>
      </c>
      <c r="F15" s="460">
        <v>0.27</v>
      </c>
      <c r="G15" s="455">
        <v>378</v>
      </c>
      <c r="H15" s="460">
        <v>0.25</v>
      </c>
    </row>
    <row r="16" spans="1:8" x14ac:dyDescent="0.2">
      <c r="B16" s="454" t="s">
        <v>290</v>
      </c>
      <c r="C16" s="455">
        <v>40</v>
      </c>
      <c r="D16" s="461">
        <v>0.47499999999999998</v>
      </c>
      <c r="E16" s="455">
        <v>66</v>
      </c>
      <c r="F16" s="460">
        <v>0.24</v>
      </c>
      <c r="G16" s="455">
        <v>46</v>
      </c>
      <c r="H16" s="460">
        <v>0.26</v>
      </c>
    </row>
    <row r="17" spans="1:8" x14ac:dyDescent="0.2">
      <c r="B17" s="454" t="s">
        <v>291</v>
      </c>
      <c r="C17" s="455">
        <v>252</v>
      </c>
      <c r="D17" s="461">
        <v>0.23809523809523808</v>
      </c>
      <c r="E17" s="455">
        <v>367</v>
      </c>
      <c r="F17" s="460">
        <v>0.23</v>
      </c>
      <c r="G17" s="455">
        <v>253</v>
      </c>
      <c r="H17" s="460">
        <v>0.31</v>
      </c>
    </row>
    <row r="18" spans="1:8" x14ac:dyDescent="0.2">
      <c r="B18" s="453" t="s">
        <v>6</v>
      </c>
      <c r="C18" s="453">
        <v>1762</v>
      </c>
      <c r="D18" s="461">
        <v>0.39</v>
      </c>
      <c r="E18" s="453">
        <v>7024</v>
      </c>
      <c r="F18" s="460">
        <v>0.32</v>
      </c>
      <c r="G18" s="453">
        <v>1980</v>
      </c>
      <c r="H18" s="460">
        <v>0.27</v>
      </c>
    </row>
    <row r="20" spans="1:8" x14ac:dyDescent="0.2">
      <c r="A20" s="2" t="s">
        <v>648</v>
      </c>
    </row>
  </sheetData>
  <pageMargins left="0.7" right="0.7" top="0.75" bottom="0.75" header="0.3" footer="0.3"/>
  <pageSetup paperSize="9" orientation="portrait"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6" zoomScaleNormal="100" workbookViewId="0">
      <selection activeCell="B45" sqref="B45:B48"/>
    </sheetView>
  </sheetViews>
  <sheetFormatPr baseColWidth="10" defaultColWidth="9.140625" defaultRowHeight="11.25" x14ac:dyDescent="0.2"/>
  <cols>
    <col min="1" max="1" width="80.85546875" style="20" bestFit="1" customWidth="1"/>
    <col min="2" max="2" width="8.7109375" style="20" bestFit="1" customWidth="1"/>
    <col min="3" max="4" width="15.85546875" style="20" bestFit="1" customWidth="1"/>
    <col min="5" max="5" width="27.140625" style="20" bestFit="1" customWidth="1"/>
    <col min="6" max="7" width="15.85546875" style="20" bestFit="1" customWidth="1"/>
    <col min="8" max="16384" width="9.140625" style="20"/>
  </cols>
  <sheetData>
    <row r="1" spans="1:9" x14ac:dyDescent="0.2">
      <c r="A1" s="19" t="s">
        <v>615</v>
      </c>
    </row>
    <row r="2" spans="1:9" x14ac:dyDescent="0.2">
      <c r="A2" s="610" t="s">
        <v>488</v>
      </c>
      <c r="B2" s="611"/>
      <c r="C2" s="611"/>
      <c r="D2" s="611"/>
      <c r="E2" s="611"/>
      <c r="F2" s="611"/>
      <c r="G2" s="611"/>
    </row>
    <row r="3" spans="1:9" x14ac:dyDescent="0.2">
      <c r="A3" s="610"/>
      <c r="B3" s="611"/>
      <c r="C3" s="611"/>
      <c r="D3" s="611"/>
      <c r="E3" s="611"/>
      <c r="F3" s="611"/>
      <c r="G3" s="611"/>
    </row>
    <row r="4" spans="1:9" x14ac:dyDescent="0.2">
      <c r="A4" s="19"/>
      <c r="B4" s="691" t="s">
        <v>441</v>
      </c>
      <c r="C4" s="691"/>
      <c r="D4" s="691"/>
      <c r="E4" s="19" t="s">
        <v>489</v>
      </c>
    </row>
    <row r="5" spans="1:9" ht="22.5" x14ac:dyDescent="0.2">
      <c r="B5" s="19" t="s">
        <v>97</v>
      </c>
      <c r="C5" s="19" t="s">
        <v>7</v>
      </c>
      <c r="D5" s="121" t="s">
        <v>471</v>
      </c>
      <c r="E5" s="19" t="s">
        <v>97</v>
      </c>
      <c r="F5" s="19" t="s">
        <v>7</v>
      </c>
      <c r="G5" s="121" t="s">
        <v>471</v>
      </c>
    </row>
    <row r="6" spans="1:9" x14ac:dyDescent="0.2">
      <c r="A6" s="20" t="s">
        <v>490</v>
      </c>
      <c r="B6" s="467">
        <v>74640</v>
      </c>
      <c r="C6" s="298">
        <v>0.16</v>
      </c>
      <c r="D6" s="230">
        <v>0.16</v>
      </c>
      <c r="E6" s="467">
        <v>2099</v>
      </c>
      <c r="F6" s="298">
        <v>0.23</v>
      </c>
      <c r="G6" s="230">
        <v>0.23</v>
      </c>
    </row>
    <row r="7" spans="1:9" x14ac:dyDescent="0.2">
      <c r="A7" s="20" t="s">
        <v>491</v>
      </c>
      <c r="B7" s="467">
        <v>51111</v>
      </c>
      <c r="C7" s="298">
        <v>0.09</v>
      </c>
      <c r="D7" s="230">
        <v>0.09</v>
      </c>
      <c r="E7" s="467">
        <v>1377</v>
      </c>
      <c r="F7" s="298">
        <v>0.08</v>
      </c>
      <c r="G7" s="230">
        <v>0.09</v>
      </c>
    </row>
    <row r="8" spans="1:9" x14ac:dyDescent="0.2">
      <c r="A8" s="20" t="s">
        <v>492</v>
      </c>
      <c r="B8" s="467">
        <v>33603</v>
      </c>
      <c r="C8" s="298">
        <v>0.3</v>
      </c>
      <c r="D8" s="230">
        <v>0.3</v>
      </c>
      <c r="E8" s="467">
        <v>602</v>
      </c>
      <c r="F8" s="298">
        <v>0.37</v>
      </c>
      <c r="G8" s="230">
        <v>0.36</v>
      </c>
    </row>
    <row r="9" spans="1:9" x14ac:dyDescent="0.2">
      <c r="A9" s="20" t="s">
        <v>493</v>
      </c>
      <c r="B9" s="467">
        <v>3748</v>
      </c>
      <c r="C9" s="298">
        <v>0.16</v>
      </c>
      <c r="D9" s="230">
        <v>0.16</v>
      </c>
      <c r="E9" s="467">
        <v>81</v>
      </c>
      <c r="F9" s="298">
        <v>0.21</v>
      </c>
      <c r="G9" s="230">
        <v>0.18</v>
      </c>
    </row>
    <row r="10" spans="1:9" x14ac:dyDescent="0.2">
      <c r="A10" s="20" t="s">
        <v>494</v>
      </c>
      <c r="B10" s="467">
        <v>513</v>
      </c>
      <c r="C10" s="298">
        <v>0.7</v>
      </c>
      <c r="D10" s="230">
        <v>0.69</v>
      </c>
      <c r="E10" s="467">
        <v>39</v>
      </c>
      <c r="F10" s="298">
        <v>0.72</v>
      </c>
      <c r="G10" s="230">
        <v>0.83</v>
      </c>
    </row>
    <row r="11" spans="1:9" x14ac:dyDescent="0.2">
      <c r="A11" s="19" t="s">
        <v>6</v>
      </c>
      <c r="B11" s="468">
        <f>SUM(B6:B10)</f>
        <v>163615</v>
      </c>
      <c r="C11" s="230">
        <v>0.17</v>
      </c>
      <c r="D11" s="230">
        <v>0.17</v>
      </c>
      <c r="E11" s="468">
        <f>SUM(E6:E10)</f>
        <v>4198</v>
      </c>
      <c r="F11" s="230">
        <v>0.21</v>
      </c>
      <c r="G11" s="230">
        <v>0.21</v>
      </c>
    </row>
    <row r="12" spans="1:9" x14ac:dyDescent="0.2">
      <c r="A12" s="19"/>
      <c r="B12" s="468"/>
      <c r="C12" s="230"/>
      <c r="D12" s="230"/>
      <c r="E12" s="468"/>
      <c r="F12" s="230"/>
      <c r="G12" s="230"/>
    </row>
    <row r="13" spans="1:9" x14ac:dyDescent="0.2">
      <c r="A13" s="610" t="s">
        <v>495</v>
      </c>
      <c r="B13" s="628"/>
      <c r="C13" s="629"/>
      <c r="D13" s="628"/>
      <c r="E13" s="629"/>
      <c r="F13" s="611"/>
      <c r="G13" s="611"/>
    </row>
    <row r="14" spans="1:9" ht="23.25" customHeight="1" x14ac:dyDescent="0.2">
      <c r="A14" s="19"/>
      <c r="B14" s="768" t="s">
        <v>496</v>
      </c>
      <c r="C14" s="768"/>
      <c r="D14" s="768"/>
      <c r="E14" s="768"/>
      <c r="F14" s="691" t="s">
        <v>497</v>
      </c>
      <c r="G14" s="691"/>
      <c r="H14" s="691"/>
      <c r="I14" s="693" t="s">
        <v>498</v>
      </c>
    </row>
    <row r="15" spans="1:9" ht="32.25" customHeight="1" x14ac:dyDescent="0.2">
      <c r="A15" s="19" t="s">
        <v>499</v>
      </c>
      <c r="B15" s="468" t="s">
        <v>4</v>
      </c>
      <c r="C15" s="230" t="s">
        <v>5</v>
      </c>
      <c r="D15" s="468" t="s">
        <v>6</v>
      </c>
      <c r="E15" s="230" t="s">
        <v>7</v>
      </c>
      <c r="F15" s="19" t="s">
        <v>4</v>
      </c>
      <c r="G15" s="19" t="s">
        <v>5</v>
      </c>
      <c r="H15" s="19" t="s">
        <v>6</v>
      </c>
      <c r="I15" s="693"/>
    </row>
    <row r="16" spans="1:9" x14ac:dyDescent="0.2">
      <c r="A16" s="19" t="s">
        <v>500</v>
      </c>
      <c r="B16" s="467">
        <v>89</v>
      </c>
      <c r="C16" s="418">
        <v>49</v>
      </c>
      <c r="D16" s="419">
        <v>138</v>
      </c>
      <c r="E16" s="230">
        <v>0.64</v>
      </c>
      <c r="F16" s="360">
        <v>13.1</v>
      </c>
      <c r="G16" s="360">
        <v>21.12</v>
      </c>
      <c r="H16" s="469">
        <v>15.95</v>
      </c>
      <c r="I16" s="230">
        <v>-0.16</v>
      </c>
    </row>
    <row r="17" spans="1:9" x14ac:dyDescent="0.2">
      <c r="A17" s="19" t="s">
        <v>501</v>
      </c>
      <c r="B17" s="467">
        <v>260</v>
      </c>
      <c r="C17" s="418">
        <v>144</v>
      </c>
      <c r="D17" s="419">
        <v>404</v>
      </c>
      <c r="E17" s="230">
        <v>0.64</v>
      </c>
      <c r="F17" s="360">
        <v>15.93</v>
      </c>
      <c r="G17" s="360">
        <v>18.13</v>
      </c>
      <c r="H17" s="469">
        <v>16.72</v>
      </c>
      <c r="I17" s="230">
        <v>-0.04</v>
      </c>
    </row>
    <row r="18" spans="1:9" x14ac:dyDescent="0.2">
      <c r="A18" s="19" t="s">
        <v>502</v>
      </c>
      <c r="B18" s="467">
        <v>133</v>
      </c>
      <c r="C18" s="418">
        <v>96</v>
      </c>
      <c r="D18" s="419">
        <v>229</v>
      </c>
      <c r="E18" s="230">
        <v>0.57999999999999996</v>
      </c>
      <c r="F18" s="360">
        <v>16.39</v>
      </c>
      <c r="G18" s="360">
        <v>18.010000000000002</v>
      </c>
      <c r="H18" s="469">
        <v>17.07</v>
      </c>
      <c r="I18" s="230">
        <v>-0.11</v>
      </c>
    </row>
    <row r="20" spans="1:9" x14ac:dyDescent="0.2">
      <c r="A20" s="20" t="s">
        <v>664</v>
      </c>
    </row>
    <row r="21" spans="1:9" x14ac:dyDescent="0.2">
      <c r="A21" s="68"/>
    </row>
    <row r="22" spans="1:9" x14ac:dyDescent="0.2">
      <c r="A22" s="49" t="s">
        <v>650</v>
      </c>
    </row>
  </sheetData>
  <mergeCells count="4">
    <mergeCell ref="B4:D4"/>
    <mergeCell ref="B14:E14"/>
    <mergeCell ref="F14:H14"/>
    <mergeCell ref="I14:I15"/>
  </mergeCells>
  <pageMargins left="0.78749999999999998" right="0.78749999999999998" top="1.0249999999999999" bottom="1.0249999999999999" header="0.78749999999999998" footer="0.78749999999999998"/>
  <pageSetup paperSize="9" firstPageNumber="0" orientation="portrait" r:id="rId1"/>
  <headerFooter>
    <oddHeader>&amp;C&amp;"Arial,Normal"&amp;10&amp;A</oddHeader>
    <oddFooter>&amp;C&amp;"Arial,Normal"&amp;10Page &amp;P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
  <sheetViews>
    <sheetView workbookViewId="0">
      <selection activeCell="F14" sqref="F14"/>
    </sheetView>
  </sheetViews>
  <sheetFormatPr baseColWidth="10" defaultRowHeight="11.25" x14ac:dyDescent="0.2"/>
  <cols>
    <col min="1" max="1" width="33.28515625" style="471" customWidth="1"/>
    <col min="2" max="2" width="10.28515625" style="471" customWidth="1"/>
    <col min="3" max="4" width="8.85546875" style="471" customWidth="1"/>
    <col min="5" max="5" width="14.42578125" style="471" customWidth="1"/>
    <col min="6" max="6" width="14.5703125" style="471" customWidth="1"/>
    <col min="7" max="7" width="15.140625" style="471" customWidth="1"/>
    <col min="8" max="11" width="9.7109375" style="471" customWidth="1"/>
    <col min="12" max="12" width="12.85546875" style="471" customWidth="1"/>
    <col min="13" max="13" width="12.42578125" style="471" customWidth="1"/>
    <col min="14" max="1024" width="9.7109375" style="471" customWidth="1"/>
    <col min="1025" max="1025" width="12.5703125" style="472" customWidth="1"/>
    <col min="1026" max="16384" width="11.42578125" style="472"/>
  </cols>
  <sheetData>
    <row r="1" spans="1:13" ht="18" customHeight="1" x14ac:dyDescent="0.2">
      <c r="A1" s="682" t="s">
        <v>447</v>
      </c>
    </row>
    <row r="2" spans="1:13" ht="9" customHeight="1" x14ac:dyDescent="0.2">
      <c r="A2" s="470"/>
    </row>
    <row r="3" spans="1:13" ht="52.15" customHeight="1" x14ac:dyDescent="0.2">
      <c r="B3" s="770" t="s">
        <v>448</v>
      </c>
      <c r="C3" s="770"/>
      <c r="D3" s="770"/>
      <c r="E3" s="770"/>
      <c r="F3" s="769" t="s">
        <v>449</v>
      </c>
      <c r="G3" s="769" t="s">
        <v>450</v>
      </c>
      <c r="H3" s="769" t="s">
        <v>451</v>
      </c>
      <c r="I3" s="769"/>
      <c r="J3" s="769"/>
      <c r="K3" s="769"/>
      <c r="L3" s="769" t="s">
        <v>452</v>
      </c>
      <c r="M3" s="769" t="s">
        <v>453</v>
      </c>
    </row>
    <row r="4" spans="1:13" x14ac:dyDescent="0.2">
      <c r="B4" s="470" t="s">
        <v>4</v>
      </c>
      <c r="C4" s="470" t="s">
        <v>5</v>
      </c>
      <c r="D4" s="470" t="s">
        <v>6</v>
      </c>
      <c r="E4" s="470" t="s">
        <v>7</v>
      </c>
      <c r="F4" s="769"/>
      <c r="G4" s="769"/>
      <c r="H4" s="470" t="s">
        <v>4</v>
      </c>
      <c r="I4" s="470" t="s">
        <v>5</v>
      </c>
      <c r="J4" s="470" t="s">
        <v>6</v>
      </c>
      <c r="K4" s="470" t="s">
        <v>454</v>
      </c>
      <c r="L4" s="769"/>
      <c r="M4" s="769"/>
    </row>
    <row r="5" spans="1:13" x14ac:dyDescent="0.2">
      <c r="A5" s="470" t="s">
        <v>455</v>
      </c>
      <c r="B5" s="470">
        <v>694</v>
      </c>
      <c r="C5" s="470">
        <v>992</v>
      </c>
      <c r="D5" s="473">
        <v>1686</v>
      </c>
      <c r="E5" s="474">
        <f>B5/C5</f>
        <v>0.69959677419354838</v>
      </c>
      <c r="F5" s="474">
        <v>0.40809042236763798</v>
      </c>
      <c r="G5" s="474">
        <v>0.41</v>
      </c>
      <c r="H5" s="475">
        <v>2467</v>
      </c>
      <c r="I5" s="475">
        <v>2579</v>
      </c>
      <c r="J5" s="475">
        <f>(H5+I5)/2</f>
        <v>2523</v>
      </c>
      <c r="K5" s="474">
        <v>-0.05</v>
      </c>
      <c r="L5" s="474">
        <v>-5.6800028819747703E-2</v>
      </c>
      <c r="M5" s="474">
        <v>-5.98691505889489E-2</v>
      </c>
    </row>
    <row r="6" spans="1:13" x14ac:dyDescent="0.2">
      <c r="A6" s="470" t="s">
        <v>456</v>
      </c>
      <c r="D6" s="473"/>
      <c r="E6" s="474"/>
      <c r="F6" s="476"/>
      <c r="G6" s="476"/>
      <c r="H6" s="477"/>
      <c r="I6" s="477"/>
      <c r="J6" s="475"/>
      <c r="K6" s="476"/>
      <c r="L6" s="476"/>
      <c r="M6" s="476"/>
    </row>
    <row r="7" spans="1:13" x14ac:dyDescent="0.2">
      <c r="A7" s="471" t="s">
        <v>457</v>
      </c>
      <c r="B7" s="471">
        <v>109</v>
      </c>
      <c r="C7" s="471">
        <v>64</v>
      </c>
      <c r="D7" s="473">
        <f>C7+B7</f>
        <v>173</v>
      </c>
      <c r="E7" s="474">
        <f>B7/D7</f>
        <v>0.63005780346820806</v>
      </c>
      <c r="F7" s="476">
        <v>0.62790697674418605</v>
      </c>
      <c r="G7" s="476">
        <v>0.63</v>
      </c>
      <c r="H7" s="477">
        <v>2581</v>
      </c>
      <c r="I7" s="477">
        <v>2825</v>
      </c>
      <c r="J7" s="475">
        <f>(H7+I7)/2</f>
        <v>2703</v>
      </c>
      <c r="K7" s="474">
        <v>-0.09</v>
      </c>
      <c r="L7" s="476">
        <v>-5.03379695868474E-2</v>
      </c>
      <c r="M7" s="476">
        <v>-0.09</v>
      </c>
    </row>
    <row r="8" spans="1:13" x14ac:dyDescent="0.2">
      <c r="A8" s="471" t="s">
        <v>458</v>
      </c>
      <c r="B8" s="471">
        <v>249</v>
      </c>
      <c r="C8" s="471">
        <v>440</v>
      </c>
      <c r="D8" s="473">
        <f>C8+B8</f>
        <v>689</v>
      </c>
      <c r="E8" s="474">
        <f>B8/D8</f>
        <v>0.36139332365747462</v>
      </c>
      <c r="F8" s="476">
        <v>0.35422740524781299</v>
      </c>
      <c r="G8" s="476">
        <v>0.36</v>
      </c>
      <c r="H8" s="477">
        <v>2568</v>
      </c>
      <c r="I8" s="477">
        <v>2767</v>
      </c>
      <c r="J8" s="475">
        <f>(H8+I8)/2</f>
        <v>2667.5</v>
      </c>
      <c r="K8" s="474">
        <v>-7.0000000000000007E-2</v>
      </c>
      <c r="L8" s="476">
        <v>-6.7310688843283201E-2</v>
      </c>
      <c r="M8" s="476">
        <v>-7.0000000000000007E-2</v>
      </c>
    </row>
    <row r="9" spans="1:13" x14ac:dyDescent="0.2">
      <c r="A9" s="471" t="s">
        <v>459</v>
      </c>
      <c r="B9" s="471">
        <v>206</v>
      </c>
      <c r="C9" s="471">
        <v>311</v>
      </c>
      <c r="D9" s="473">
        <f>C9+B9</f>
        <v>517</v>
      </c>
      <c r="E9" s="474">
        <f>B9/D9</f>
        <v>0.39845261121856868</v>
      </c>
      <c r="F9" s="476">
        <v>0.403131115459883</v>
      </c>
      <c r="G9" s="476">
        <v>0.4</v>
      </c>
      <c r="H9" s="477">
        <v>2435</v>
      </c>
      <c r="I9" s="477">
        <v>2565</v>
      </c>
      <c r="J9" s="475">
        <f>(H9+I9)/2</f>
        <v>2500</v>
      </c>
      <c r="K9" s="474">
        <v>-0.05</v>
      </c>
      <c r="L9" s="476">
        <v>-6.8659048864228606E-2</v>
      </c>
      <c r="M9" s="476">
        <v>-7.0000000000000007E-2</v>
      </c>
    </row>
    <row r="11" spans="1:13" x14ac:dyDescent="0.2">
      <c r="A11" s="471" t="s">
        <v>32</v>
      </c>
    </row>
    <row r="12" spans="1:13" x14ac:dyDescent="0.2">
      <c r="A12" s="478"/>
    </row>
    <row r="13" spans="1:13" x14ac:dyDescent="0.2">
      <c r="A13" s="471" t="s">
        <v>953</v>
      </c>
    </row>
  </sheetData>
  <mergeCells count="6">
    <mergeCell ref="M3:M4"/>
    <mergeCell ref="B3:E3"/>
    <mergeCell ref="F3:F4"/>
    <mergeCell ref="G3:G4"/>
    <mergeCell ref="H3:K3"/>
    <mergeCell ref="L3:L4"/>
  </mergeCells>
  <pageMargins left="0.78740157480314998" right="0.78740157480314998" top="1.1232283464566932" bottom="1.1232283464566932" header="0.78740157480314998" footer="0.78740157480314998"/>
  <pageSetup paperSize="0" fitToWidth="0" fitToHeight="0" orientation="portrait" horizontalDpi="0" verticalDpi="0" copies="0"/>
  <headerFooter alignWithMargins="0">
    <oddHeader>&amp;C&amp;10&amp;A</oddHeader>
    <oddFooter>&amp;C&amp;10Page &amp;P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27"/>
  <sheetViews>
    <sheetView zoomScaleNormal="100" workbookViewId="0">
      <selection activeCell="A2" sqref="A2"/>
    </sheetView>
  </sheetViews>
  <sheetFormatPr baseColWidth="10" defaultColWidth="9.140625" defaultRowHeight="11.25" x14ac:dyDescent="0.2"/>
  <cols>
    <col min="1" max="1" width="71" style="20" customWidth="1"/>
    <col min="2" max="16384" width="9.140625" style="20"/>
  </cols>
  <sheetData>
    <row r="1" spans="1:3" x14ac:dyDescent="0.2">
      <c r="A1" s="19" t="s">
        <v>188</v>
      </c>
    </row>
    <row r="2" spans="1:3" x14ac:dyDescent="0.2">
      <c r="A2" s="19"/>
    </row>
    <row r="3" spans="1:3" x14ac:dyDescent="0.2">
      <c r="B3" s="19">
        <v>2015</v>
      </c>
      <c r="C3" s="19">
        <v>2014</v>
      </c>
    </row>
    <row r="4" spans="1:3" x14ac:dyDescent="0.2">
      <c r="A4" s="19" t="s">
        <v>189</v>
      </c>
      <c r="B4" s="547">
        <v>-0.1790813838166434</v>
      </c>
      <c r="C4" s="547">
        <v>-0.18244024305849993</v>
      </c>
    </row>
    <row r="5" spans="1:3" x14ac:dyDescent="0.2">
      <c r="A5" s="548" t="s">
        <v>190</v>
      </c>
      <c r="B5" s="548"/>
      <c r="C5" s="548"/>
    </row>
    <row r="6" spans="1:3" x14ac:dyDescent="0.2">
      <c r="A6" s="549" t="s">
        <v>191</v>
      </c>
      <c r="B6" s="547">
        <v>-4.5663957641997932E-2</v>
      </c>
      <c r="C6" s="547">
        <v>-4.930703195842645E-2</v>
      </c>
    </row>
    <row r="7" spans="1:3" x14ac:dyDescent="0.2">
      <c r="A7" s="296" t="s">
        <v>192</v>
      </c>
      <c r="B7" s="550">
        <v>-0.22029842503650754</v>
      </c>
      <c r="C7" s="550">
        <v>-0.21700755186632581</v>
      </c>
    </row>
    <row r="8" spans="1:3" x14ac:dyDescent="0.2">
      <c r="A8" s="296" t="s">
        <v>193</v>
      </c>
      <c r="B8" s="550">
        <v>-6.5236955128923135E-2</v>
      </c>
      <c r="C8" s="550">
        <v>-5.9611531786922023E-2</v>
      </c>
    </row>
    <row r="9" spans="1:3" x14ac:dyDescent="0.2">
      <c r="A9" s="296" t="s">
        <v>194</v>
      </c>
      <c r="B9" s="550">
        <v>-3.0565274543052134E-2</v>
      </c>
      <c r="C9" s="550">
        <v>-3.4897480967315264E-2</v>
      </c>
    </row>
    <row r="10" spans="1:3" x14ac:dyDescent="0.2">
      <c r="A10" s="296" t="s">
        <v>195</v>
      </c>
      <c r="B10" s="550">
        <v>-1.46390572446643E-2</v>
      </c>
      <c r="C10" s="550">
        <v>-2.4147201921122741E-2</v>
      </c>
    </row>
    <row r="11" spans="1:3" x14ac:dyDescent="0.2">
      <c r="A11" s="549" t="s">
        <v>196</v>
      </c>
      <c r="B11" s="547">
        <v>-0.15059111658700086</v>
      </c>
      <c r="C11" s="547">
        <v>-0.14927816630286372</v>
      </c>
    </row>
    <row r="12" spans="1:3" x14ac:dyDescent="0.2">
      <c r="A12" s="296" t="s">
        <v>192</v>
      </c>
      <c r="B12" s="550">
        <v>-0.22216232186417684</v>
      </c>
      <c r="C12" s="550">
        <v>-0.23146837221976391</v>
      </c>
    </row>
    <row r="13" spans="1:3" x14ac:dyDescent="0.2">
      <c r="A13" s="296" t="s">
        <v>193</v>
      </c>
      <c r="B13" s="550">
        <v>-0.12191134165885131</v>
      </c>
      <c r="C13" s="550">
        <v>-0.12356323625934684</v>
      </c>
    </row>
    <row r="14" spans="1:3" x14ac:dyDescent="0.2">
      <c r="A14" s="296" t="s">
        <v>194</v>
      </c>
      <c r="B14" s="550">
        <v>-6.3305454869514555E-2</v>
      </c>
      <c r="C14" s="550">
        <v>-5.6457167099633221E-2</v>
      </c>
    </row>
    <row r="15" spans="1:3" x14ac:dyDescent="0.2">
      <c r="A15" s="296" t="s">
        <v>195</v>
      </c>
      <c r="B15" s="550">
        <v>-7.6989474628248233E-2</v>
      </c>
      <c r="C15" s="550">
        <v>-7.1693455975866516E-2</v>
      </c>
    </row>
    <row r="16" spans="1:3" x14ac:dyDescent="0.2">
      <c r="A16" s="549" t="s">
        <v>197</v>
      </c>
      <c r="B16" s="547">
        <v>-0.23397561356352969</v>
      </c>
      <c r="C16" s="547">
        <v>-0.23568425294244677</v>
      </c>
    </row>
    <row r="17" spans="1:3" x14ac:dyDescent="0.2">
      <c r="A17" s="296" t="s">
        <v>192</v>
      </c>
      <c r="B17" s="550">
        <v>-0.15585997146730857</v>
      </c>
      <c r="C17" s="550">
        <v>-0.18536441578384832</v>
      </c>
    </row>
    <row r="18" spans="1:3" x14ac:dyDescent="0.2">
      <c r="A18" s="296" t="s">
        <v>193</v>
      </c>
      <c r="B18" s="550">
        <v>-0.1716170601621233</v>
      </c>
      <c r="C18" s="550">
        <v>-0.17005655687262244</v>
      </c>
    </row>
    <row r="19" spans="1:3" x14ac:dyDescent="0.2">
      <c r="A19" s="296" t="s">
        <v>194</v>
      </c>
      <c r="B19" s="550">
        <v>-8.3329853807540766E-2</v>
      </c>
      <c r="C19" s="550">
        <v>-8.5116928815199278E-2</v>
      </c>
    </row>
    <row r="20" spans="1:3" x14ac:dyDescent="0.2">
      <c r="A20" s="296" t="s">
        <v>195</v>
      </c>
      <c r="B20" s="550">
        <v>-6.2227079702215971E-2</v>
      </c>
      <c r="C20" s="550">
        <v>-5.2345546559140255E-2</v>
      </c>
    </row>
    <row r="21" spans="1:3" x14ac:dyDescent="0.2">
      <c r="A21" s="20" t="s">
        <v>198</v>
      </c>
      <c r="B21" s="550"/>
      <c r="C21" s="550"/>
    </row>
    <row r="22" spans="1:3" x14ac:dyDescent="0.2">
      <c r="A22" s="20" t="s">
        <v>199</v>
      </c>
    </row>
    <row r="23" spans="1:3" x14ac:dyDescent="0.2">
      <c r="A23" s="20" t="s">
        <v>200</v>
      </c>
    </row>
    <row r="25" spans="1:3" x14ac:dyDescent="0.2">
      <c r="A25" s="20" t="s">
        <v>954</v>
      </c>
    </row>
    <row r="27" spans="1:3" x14ac:dyDescent="0.2">
      <c r="A27" s="68"/>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17"/>
  <sheetViews>
    <sheetView zoomScaleNormal="100" workbookViewId="0">
      <selection activeCell="A25" sqref="A25"/>
    </sheetView>
  </sheetViews>
  <sheetFormatPr baseColWidth="10" defaultColWidth="9.140625" defaultRowHeight="11.25" x14ac:dyDescent="0.2"/>
  <cols>
    <col min="1" max="1" width="40" style="20" customWidth="1"/>
    <col min="2" max="16384" width="9.140625" style="20"/>
  </cols>
  <sheetData>
    <row r="1" spans="1:3" x14ac:dyDescent="0.2">
      <c r="A1" s="19" t="s">
        <v>201</v>
      </c>
    </row>
    <row r="2" spans="1:3" x14ac:dyDescent="0.2">
      <c r="A2" s="19"/>
    </row>
    <row r="3" spans="1:3" x14ac:dyDescent="0.2">
      <c r="B3" s="19">
        <v>2015</v>
      </c>
      <c r="C3" s="19">
        <v>2014</v>
      </c>
    </row>
    <row r="4" spans="1:3" x14ac:dyDescent="0.2">
      <c r="A4" s="19" t="s">
        <v>202</v>
      </c>
      <c r="B4" s="547">
        <v>0.51820864768024033</v>
      </c>
      <c r="C4" s="547">
        <v>0.52247733597518786</v>
      </c>
    </row>
    <row r="5" spans="1:3" x14ac:dyDescent="0.2">
      <c r="A5" s="548" t="s">
        <v>203</v>
      </c>
      <c r="B5" s="630"/>
      <c r="C5" s="630"/>
    </row>
    <row r="6" spans="1:3" x14ac:dyDescent="0.2">
      <c r="A6" s="20" t="s">
        <v>204</v>
      </c>
      <c r="B6" s="550">
        <v>0.56163723101908247</v>
      </c>
      <c r="C6" s="550">
        <v>0.57539702295016681</v>
      </c>
    </row>
    <row r="7" spans="1:3" x14ac:dyDescent="0.2">
      <c r="A7" s="20" t="s">
        <v>205</v>
      </c>
      <c r="B7" s="550"/>
      <c r="C7" s="550"/>
    </row>
    <row r="8" spans="1:3" x14ac:dyDescent="0.2">
      <c r="A8" s="20" t="s">
        <v>206</v>
      </c>
      <c r="B8" s="550">
        <v>0.3528978887535526</v>
      </c>
      <c r="C8" s="550">
        <v>0.35104794145467216</v>
      </c>
    </row>
    <row r="9" spans="1:3" x14ac:dyDescent="0.2">
      <c r="A9" s="20" t="s">
        <v>207</v>
      </c>
      <c r="B9" s="550">
        <v>0.3218128298822574</v>
      </c>
      <c r="C9" s="550">
        <v>0.31911186339423508</v>
      </c>
    </row>
    <row r="10" spans="1:3" x14ac:dyDescent="0.2">
      <c r="A10" s="20" t="s">
        <v>208</v>
      </c>
      <c r="B10" s="550">
        <v>0.27353463587921845</v>
      </c>
      <c r="C10" s="550">
        <v>0.26505724240915879</v>
      </c>
    </row>
    <row r="11" spans="1:3" x14ac:dyDescent="0.2">
      <c r="A11" s="20" t="s">
        <v>209</v>
      </c>
    </row>
    <row r="12" spans="1:3" x14ac:dyDescent="0.2">
      <c r="A12" s="20" t="s">
        <v>210</v>
      </c>
    </row>
    <row r="13" spans="1:3" x14ac:dyDescent="0.2">
      <c r="A13" s="20" t="s">
        <v>200</v>
      </c>
    </row>
    <row r="15" spans="1:3" x14ac:dyDescent="0.2">
      <c r="A15" s="20" t="s">
        <v>955</v>
      </c>
    </row>
    <row r="17" spans="1:1" x14ac:dyDescent="0.2">
      <c r="A17" s="68"/>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workbookViewId="0">
      <selection activeCell="A2" sqref="A2:XFD2"/>
    </sheetView>
  </sheetViews>
  <sheetFormatPr baseColWidth="10" defaultColWidth="9.140625" defaultRowHeight="11.25" x14ac:dyDescent="0.2"/>
  <cols>
    <col min="1" max="1" width="47.7109375" style="20" customWidth="1"/>
    <col min="2" max="4" width="9.140625" style="20"/>
    <col min="5" max="5" width="16" style="20" customWidth="1"/>
    <col min="6" max="6" width="22.5703125" style="20" customWidth="1"/>
    <col min="7" max="7" width="20.85546875" style="20" bestFit="1" customWidth="1"/>
    <col min="8" max="11" width="20.85546875" style="20" customWidth="1"/>
    <col min="12" max="16384" width="9.140625" style="20"/>
  </cols>
  <sheetData>
    <row r="1" spans="1:13" x14ac:dyDescent="0.2">
      <c r="A1" s="19" t="s">
        <v>629</v>
      </c>
    </row>
    <row r="2" spans="1:13" x14ac:dyDescent="0.2">
      <c r="A2" s="19"/>
    </row>
    <row r="3" spans="1:13" s="49" customFormat="1" x14ac:dyDescent="0.2">
      <c r="A3" s="46"/>
      <c r="B3" s="708" t="s">
        <v>17</v>
      </c>
      <c r="C3" s="709"/>
      <c r="D3" s="709"/>
      <c r="E3" s="710"/>
      <c r="F3" s="47" t="s">
        <v>651</v>
      </c>
      <c r="G3" s="47" t="s">
        <v>652</v>
      </c>
      <c r="H3" s="47" t="s">
        <v>653</v>
      </c>
      <c r="I3" s="47" t="s">
        <v>654</v>
      </c>
      <c r="J3" s="47" t="s">
        <v>655</v>
      </c>
      <c r="K3" s="47" t="s">
        <v>656</v>
      </c>
      <c r="L3" s="48"/>
      <c r="M3" s="48"/>
    </row>
    <row r="4" spans="1:13" x14ac:dyDescent="0.2">
      <c r="A4" s="50"/>
      <c r="B4" s="51" t="s">
        <v>4</v>
      </c>
      <c r="C4" s="52" t="s">
        <v>5</v>
      </c>
      <c r="D4" s="52" t="s">
        <v>6</v>
      </c>
      <c r="E4" s="53" t="s">
        <v>7</v>
      </c>
      <c r="F4" s="54" t="s">
        <v>7</v>
      </c>
      <c r="G4" s="54" t="s">
        <v>7</v>
      </c>
      <c r="H4" s="54" t="s">
        <v>7</v>
      </c>
      <c r="I4" s="54" t="s">
        <v>7</v>
      </c>
      <c r="J4" s="54" t="s">
        <v>7</v>
      </c>
      <c r="K4" s="54" t="s">
        <v>7</v>
      </c>
    </row>
    <row r="5" spans="1:13" x14ac:dyDescent="0.2">
      <c r="A5" s="55" t="s">
        <v>33</v>
      </c>
      <c r="B5" s="56">
        <v>1</v>
      </c>
      <c r="C5" s="57">
        <v>0</v>
      </c>
      <c r="D5" s="57"/>
      <c r="E5" s="58"/>
      <c r="F5" s="59"/>
      <c r="G5" s="60"/>
      <c r="H5" s="60"/>
      <c r="I5" s="60"/>
      <c r="J5" s="60"/>
      <c r="K5" s="60"/>
    </row>
    <row r="6" spans="1:13" x14ac:dyDescent="0.2">
      <c r="A6" s="61" t="s">
        <v>34</v>
      </c>
      <c r="B6" s="33">
        <v>1</v>
      </c>
      <c r="C6" s="34">
        <v>0</v>
      </c>
      <c r="D6" s="34"/>
      <c r="E6" s="62"/>
      <c r="F6" s="59"/>
      <c r="G6" s="63"/>
      <c r="H6" s="63"/>
      <c r="I6" s="63"/>
      <c r="J6" s="63"/>
      <c r="K6" s="63"/>
    </row>
    <row r="7" spans="1:13" x14ac:dyDescent="0.2">
      <c r="A7" s="61" t="s">
        <v>35</v>
      </c>
      <c r="B7" s="33">
        <v>1</v>
      </c>
      <c r="C7" s="34">
        <v>0</v>
      </c>
      <c r="D7" s="34"/>
      <c r="E7" s="62"/>
      <c r="F7" s="59"/>
      <c r="G7" s="63"/>
      <c r="H7" s="63"/>
      <c r="I7" s="63"/>
      <c r="J7" s="63"/>
      <c r="K7" s="63"/>
    </row>
    <row r="8" spans="1:13" x14ac:dyDescent="0.2">
      <c r="A8" s="61" t="s">
        <v>36</v>
      </c>
      <c r="B8" s="33">
        <v>1</v>
      </c>
      <c r="C8" s="34">
        <v>0</v>
      </c>
      <c r="D8" s="34"/>
      <c r="E8" s="62"/>
      <c r="F8" s="59"/>
      <c r="G8" s="63"/>
      <c r="H8" s="63"/>
      <c r="I8" s="63"/>
      <c r="J8" s="63"/>
      <c r="K8" s="63"/>
    </row>
    <row r="9" spans="1:13" x14ac:dyDescent="0.2">
      <c r="A9" s="61" t="s">
        <v>37</v>
      </c>
      <c r="B9" s="33">
        <v>0</v>
      </c>
      <c r="C9" s="34">
        <v>1</v>
      </c>
      <c r="D9" s="34"/>
      <c r="E9" s="62"/>
      <c r="F9" s="59"/>
      <c r="G9" s="63"/>
      <c r="H9" s="63"/>
      <c r="I9" s="63"/>
      <c r="J9" s="63"/>
      <c r="K9" s="63"/>
    </row>
    <row r="10" spans="1:13" x14ac:dyDescent="0.2">
      <c r="A10" s="64" t="s">
        <v>6</v>
      </c>
      <c r="B10" s="51">
        <f>SUM(B5:B9)</f>
        <v>4</v>
      </c>
      <c r="C10" s="52">
        <f>SUM(C5:C9)</f>
        <v>1</v>
      </c>
      <c r="D10" s="52">
        <f>SUM(B10:C10)</f>
        <v>5</v>
      </c>
      <c r="E10" s="65">
        <f>(B10/D10)</f>
        <v>0.8</v>
      </c>
      <c r="F10" s="66">
        <v>0.6</v>
      </c>
      <c r="G10" s="67">
        <v>0.6</v>
      </c>
      <c r="H10" s="67">
        <v>0.6</v>
      </c>
      <c r="I10" s="67">
        <v>0.6</v>
      </c>
      <c r="J10" s="67">
        <v>0.4</v>
      </c>
      <c r="K10" s="67">
        <v>0.4</v>
      </c>
    </row>
    <row r="11" spans="1:13" x14ac:dyDescent="0.2">
      <c r="A11" s="507"/>
      <c r="B11" s="495"/>
      <c r="C11" s="495"/>
      <c r="D11" s="495"/>
      <c r="E11" s="508"/>
      <c r="F11" s="508"/>
      <c r="G11" s="233"/>
      <c r="H11" s="233"/>
      <c r="I11" s="233"/>
      <c r="J11" s="233"/>
      <c r="K11" s="233"/>
    </row>
    <row r="12" spans="1:13" x14ac:dyDescent="0.2">
      <c r="A12" s="20" t="s">
        <v>910</v>
      </c>
    </row>
    <row r="15" spans="1:13" x14ac:dyDescent="0.2">
      <c r="A15" s="68"/>
    </row>
  </sheetData>
  <mergeCells count="1">
    <mergeCell ref="B3:E3"/>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G28" sqref="G27:G28"/>
    </sheetView>
  </sheetViews>
  <sheetFormatPr baseColWidth="10" defaultRowHeight="11.25" x14ac:dyDescent="0.2"/>
  <cols>
    <col min="1" max="1" width="27" style="2" customWidth="1"/>
    <col min="2" max="16384" width="11.42578125" style="2"/>
  </cols>
  <sheetData>
    <row r="1" spans="1:11" ht="15.75" customHeight="1" x14ac:dyDescent="0.2">
      <c r="A1" s="771" t="s">
        <v>958</v>
      </c>
      <c r="B1" s="771"/>
      <c r="C1" s="771"/>
      <c r="D1" s="771"/>
      <c r="E1" s="771"/>
      <c r="F1" s="771"/>
      <c r="G1" s="771"/>
      <c r="H1" s="479"/>
      <c r="J1" s="173"/>
    </row>
    <row r="2" spans="1:11" ht="11.25" customHeight="1" x14ac:dyDescent="0.2">
      <c r="A2" s="684"/>
      <c r="B2" s="684"/>
      <c r="C2" s="684"/>
      <c r="D2" s="684"/>
      <c r="E2" s="684"/>
      <c r="F2" s="684"/>
      <c r="G2" s="684"/>
      <c r="H2" s="479"/>
      <c r="J2" s="173"/>
    </row>
    <row r="3" spans="1:11" x14ac:dyDescent="0.2">
      <c r="A3" s="683" t="s">
        <v>959</v>
      </c>
      <c r="B3" s="632"/>
      <c r="C3" s="632"/>
      <c r="D3" s="632"/>
      <c r="E3" s="632"/>
      <c r="F3" s="632"/>
      <c r="G3" s="632"/>
      <c r="H3" s="479"/>
      <c r="J3" s="173"/>
      <c r="K3" s="636"/>
    </row>
    <row r="4" spans="1:11" ht="33.75" x14ac:dyDescent="0.2">
      <c r="A4" s="633"/>
      <c r="B4" s="634" t="s">
        <v>4</v>
      </c>
      <c r="C4" s="634" t="s">
        <v>5</v>
      </c>
      <c r="D4" s="635" t="s">
        <v>862</v>
      </c>
    </row>
    <row r="5" spans="1:11" x14ac:dyDescent="0.2">
      <c r="A5" s="633" t="s">
        <v>852</v>
      </c>
      <c r="B5" s="637">
        <v>43400</v>
      </c>
      <c r="C5" s="637">
        <v>50300</v>
      </c>
      <c r="D5" s="638">
        <v>-0.13717693836978131</v>
      </c>
    </row>
    <row r="6" spans="1:11" x14ac:dyDescent="0.2">
      <c r="A6" s="633" t="s">
        <v>853</v>
      </c>
      <c r="B6" s="637">
        <v>41800</v>
      </c>
      <c r="C6" s="637">
        <v>48900</v>
      </c>
      <c r="D6" s="638">
        <v>-0.14519427402862986</v>
      </c>
    </row>
    <row r="7" spans="1:11" x14ac:dyDescent="0.2">
      <c r="A7" s="633" t="s">
        <v>246</v>
      </c>
      <c r="B7" s="637">
        <v>38200</v>
      </c>
      <c r="C7" s="637">
        <v>49100</v>
      </c>
      <c r="D7" s="638">
        <v>-0.2219959266802444</v>
      </c>
    </row>
    <row r="8" spans="1:11" x14ac:dyDescent="0.2">
      <c r="A8" s="633" t="s">
        <v>854</v>
      </c>
      <c r="B8" s="637">
        <v>36100</v>
      </c>
      <c r="C8" s="637">
        <v>42700</v>
      </c>
      <c r="D8" s="638">
        <v>-0.15456674473067916</v>
      </c>
    </row>
    <row r="9" spans="1:11" x14ac:dyDescent="0.2">
      <c r="A9" s="633" t="s">
        <v>855</v>
      </c>
      <c r="B9" s="637">
        <v>36800</v>
      </c>
      <c r="C9" s="637">
        <v>41800</v>
      </c>
      <c r="D9" s="638">
        <v>-0.11961722488038277</v>
      </c>
    </row>
    <row r="10" spans="1:11" x14ac:dyDescent="0.2">
      <c r="A10" s="633" t="s">
        <v>856</v>
      </c>
      <c r="B10" s="637">
        <v>26600</v>
      </c>
      <c r="C10" s="637">
        <v>33000</v>
      </c>
      <c r="D10" s="638">
        <v>-0.19393939393939394</v>
      </c>
    </row>
    <row r="11" spans="1:11" x14ac:dyDescent="0.2">
      <c r="A11" s="633" t="s">
        <v>857</v>
      </c>
      <c r="B11" s="637">
        <v>26900</v>
      </c>
      <c r="C11" s="637">
        <v>32900</v>
      </c>
      <c r="D11" s="638">
        <v>-0.18237082066869301</v>
      </c>
    </row>
    <row r="12" spans="1:11" x14ac:dyDescent="0.2">
      <c r="A12" s="633" t="s">
        <v>858</v>
      </c>
      <c r="B12" s="637">
        <v>50800</v>
      </c>
      <c r="C12" s="637">
        <v>60700</v>
      </c>
      <c r="D12" s="638">
        <v>-0.1630971993410214</v>
      </c>
    </row>
    <row r="13" spans="1:11" x14ac:dyDescent="0.2">
      <c r="A13" s="633" t="s">
        <v>859</v>
      </c>
      <c r="B13" s="637">
        <v>41300</v>
      </c>
      <c r="C13" s="637">
        <v>46400</v>
      </c>
      <c r="D13" s="638">
        <v>-0.10991379310344827</v>
      </c>
    </row>
    <row r="14" spans="1:11" x14ac:dyDescent="0.2">
      <c r="A14" s="633" t="s">
        <v>860</v>
      </c>
      <c r="B14" s="637">
        <v>56300</v>
      </c>
      <c r="C14" s="637">
        <v>70800</v>
      </c>
      <c r="D14" s="638">
        <v>-0.20480225988700565</v>
      </c>
    </row>
    <row r="15" spans="1:11" x14ac:dyDescent="0.2">
      <c r="A15" s="633" t="s">
        <v>861</v>
      </c>
      <c r="B15" s="637">
        <v>34300</v>
      </c>
      <c r="C15" s="637">
        <v>43500</v>
      </c>
      <c r="D15" s="638">
        <v>-0.21149425287356322</v>
      </c>
    </row>
    <row r="16" spans="1:11" x14ac:dyDescent="0.2">
      <c r="A16" s="633" t="s">
        <v>247</v>
      </c>
      <c r="B16" s="637">
        <v>27000</v>
      </c>
      <c r="C16" s="637">
        <v>31100</v>
      </c>
      <c r="D16" s="638">
        <v>-0.13183279742765272</v>
      </c>
    </row>
    <row r="17" spans="1:9" x14ac:dyDescent="0.2">
      <c r="A17" s="639" t="s">
        <v>6</v>
      </c>
      <c r="B17" s="637">
        <v>37500</v>
      </c>
      <c r="C17" s="637">
        <v>45500</v>
      </c>
      <c r="D17" s="638">
        <v>-0.17582417582417584</v>
      </c>
    </row>
    <row r="18" spans="1:9" ht="60.75" customHeight="1" x14ac:dyDescent="0.2">
      <c r="A18" s="764" t="s">
        <v>850</v>
      </c>
      <c r="B18" s="764"/>
      <c r="C18" s="764"/>
      <c r="D18" s="764"/>
      <c r="E18" s="764"/>
      <c r="F18" s="764"/>
      <c r="G18" s="764"/>
      <c r="H18" s="764"/>
      <c r="I18" s="764"/>
    </row>
    <row r="20" spans="1:9" x14ac:dyDescent="0.2">
      <c r="A20" s="2" t="s">
        <v>956</v>
      </c>
    </row>
    <row r="33" spans="3:3" x14ac:dyDescent="0.2">
      <c r="C33" s="2" t="s">
        <v>794</v>
      </c>
    </row>
  </sheetData>
  <mergeCells count="2">
    <mergeCell ref="A1:G1"/>
    <mergeCell ref="A18:I18"/>
  </mergeCell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J15" sqref="J15"/>
    </sheetView>
  </sheetViews>
  <sheetFormatPr baseColWidth="10" defaultRowHeight="11.25" x14ac:dyDescent="0.2"/>
  <cols>
    <col min="1" max="1" width="20.5703125" style="2" customWidth="1"/>
    <col min="2" max="2" width="16.42578125" style="2" customWidth="1"/>
    <col min="3" max="3" width="15.7109375" style="2" customWidth="1"/>
    <col min="4" max="16384" width="11.42578125" style="2"/>
  </cols>
  <sheetData>
    <row r="1" spans="1:5" x14ac:dyDescent="0.2">
      <c r="A1" s="15" t="s">
        <v>616</v>
      </c>
    </row>
    <row r="2" spans="1:5" x14ac:dyDescent="0.2">
      <c r="A2" s="15"/>
    </row>
    <row r="3" spans="1:5" x14ac:dyDescent="0.2">
      <c r="B3" s="772">
        <v>2017</v>
      </c>
      <c r="C3" s="773"/>
      <c r="D3" s="774">
        <v>2016</v>
      </c>
      <c r="E3" s="774"/>
    </row>
    <row r="4" spans="1:5" ht="45" x14ac:dyDescent="0.2">
      <c r="A4" s="17"/>
      <c r="B4" s="688" t="s">
        <v>277</v>
      </c>
      <c r="C4" s="689" t="s">
        <v>278</v>
      </c>
      <c r="D4" s="690" t="s">
        <v>277</v>
      </c>
      <c r="E4" s="690" t="s">
        <v>278</v>
      </c>
    </row>
    <row r="5" spans="1:5" x14ac:dyDescent="0.2">
      <c r="A5" s="640" t="s">
        <v>245</v>
      </c>
      <c r="B5" s="4"/>
      <c r="C5" s="685"/>
    </row>
    <row r="6" spans="1:5" x14ac:dyDescent="0.2">
      <c r="A6" s="479" t="s">
        <v>279</v>
      </c>
      <c r="B6" s="686">
        <v>3943.6203000132732</v>
      </c>
      <c r="C6" s="687">
        <v>0.24903302588515322</v>
      </c>
      <c r="D6" s="479">
        <v>3943</v>
      </c>
      <c r="E6" s="5">
        <v>0.27</v>
      </c>
    </row>
    <row r="7" spans="1:5" x14ac:dyDescent="0.2">
      <c r="A7" s="479" t="s">
        <v>280</v>
      </c>
      <c r="B7" s="686">
        <v>3952.3050708751507</v>
      </c>
      <c r="C7" s="687">
        <v>0.75096697411484681</v>
      </c>
      <c r="D7" s="479">
        <v>3952</v>
      </c>
      <c r="E7" s="5">
        <f>1-E6</f>
        <v>0.73</v>
      </c>
    </row>
    <row r="8" spans="1:5" x14ac:dyDescent="0.2">
      <c r="A8" s="640" t="s">
        <v>135</v>
      </c>
      <c r="B8" s="686"/>
      <c r="C8" s="685"/>
      <c r="D8" s="479"/>
    </row>
    <row r="9" spans="1:5" x14ac:dyDescent="0.2">
      <c r="A9" s="479" t="s">
        <v>279</v>
      </c>
      <c r="B9" s="686">
        <v>1638.822655535678</v>
      </c>
      <c r="C9" s="687">
        <v>0.30727417089110121</v>
      </c>
      <c r="D9" s="479">
        <v>1638</v>
      </c>
      <c r="E9" s="5">
        <v>0.33</v>
      </c>
    </row>
    <row r="10" spans="1:5" x14ac:dyDescent="0.2">
      <c r="A10" s="479" t="s">
        <v>280</v>
      </c>
      <c r="B10" s="686">
        <v>3097.716942338212</v>
      </c>
      <c r="C10" s="687">
        <v>0.69272582910889879</v>
      </c>
      <c r="D10" s="479">
        <v>3097</v>
      </c>
      <c r="E10" s="5">
        <f>1-E9</f>
        <v>0.66999999999999993</v>
      </c>
    </row>
    <row r="13" spans="1:5" x14ac:dyDescent="0.2">
      <c r="A13" s="2" t="s">
        <v>648</v>
      </c>
    </row>
  </sheetData>
  <mergeCells count="2">
    <mergeCell ref="B3:C3"/>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election activeCell="C18" sqref="C18"/>
    </sheetView>
  </sheetViews>
  <sheetFormatPr baseColWidth="10" defaultColWidth="9.140625" defaultRowHeight="11.25" x14ac:dyDescent="0.2"/>
  <cols>
    <col min="1" max="1" width="26.7109375" style="20" customWidth="1"/>
    <col min="2" max="2" width="10.28515625" style="20" bestFit="1" customWidth="1"/>
    <col min="3" max="3" width="10.42578125" style="20" bestFit="1" customWidth="1"/>
    <col min="4" max="4" width="7" style="20" bestFit="1" customWidth="1"/>
    <col min="5" max="5" width="19.140625" style="20" bestFit="1" customWidth="1"/>
    <col min="6" max="11" width="20.85546875" style="20" bestFit="1" customWidth="1"/>
    <col min="12" max="16384" width="9.140625" style="20"/>
  </cols>
  <sheetData>
    <row r="1" spans="1:11" x14ac:dyDescent="0.2">
      <c r="A1" s="19" t="s">
        <v>630</v>
      </c>
    </row>
    <row r="2" spans="1:11" x14ac:dyDescent="0.2">
      <c r="A2" s="19"/>
    </row>
    <row r="3" spans="1:11" x14ac:dyDescent="0.2">
      <c r="B3" s="711" t="s">
        <v>17</v>
      </c>
      <c r="C3" s="712"/>
      <c r="D3" s="712"/>
      <c r="E3" s="713"/>
      <c r="F3" s="69" t="s">
        <v>651</v>
      </c>
      <c r="G3" s="69" t="s">
        <v>652</v>
      </c>
      <c r="H3" s="69" t="s">
        <v>653</v>
      </c>
      <c r="I3" s="69" t="s">
        <v>654</v>
      </c>
      <c r="J3" s="69" t="s">
        <v>655</v>
      </c>
      <c r="K3" s="69" t="s">
        <v>656</v>
      </c>
    </row>
    <row r="4" spans="1:11" x14ac:dyDescent="0.2">
      <c r="B4" s="38" t="s">
        <v>4</v>
      </c>
      <c r="C4" s="70" t="s">
        <v>5</v>
      </c>
      <c r="D4" s="70" t="s">
        <v>6</v>
      </c>
      <c r="E4" s="71" t="s">
        <v>7</v>
      </c>
      <c r="F4" s="54" t="s">
        <v>7</v>
      </c>
      <c r="G4" s="54" t="s">
        <v>7</v>
      </c>
      <c r="H4" s="54" t="s">
        <v>7</v>
      </c>
      <c r="I4" s="54" t="s">
        <v>7</v>
      </c>
      <c r="J4" s="54" t="s">
        <v>7</v>
      </c>
      <c r="K4" s="54" t="s">
        <v>7</v>
      </c>
    </row>
    <row r="5" spans="1:11" x14ac:dyDescent="0.2">
      <c r="A5" s="72" t="s">
        <v>38</v>
      </c>
      <c r="B5" s="73">
        <v>5</v>
      </c>
      <c r="C5" s="74">
        <v>7</v>
      </c>
      <c r="D5" s="75">
        <f>SUM(B5:C5)</f>
        <v>12</v>
      </c>
      <c r="E5" s="76">
        <f>B5/D5</f>
        <v>0.41666666666666669</v>
      </c>
      <c r="F5" s="77">
        <v>0.46153846153846156</v>
      </c>
      <c r="G5" s="78">
        <v>0.53846153846153844</v>
      </c>
      <c r="H5" s="79">
        <v>0.54</v>
      </c>
      <c r="I5" s="79">
        <v>0</v>
      </c>
      <c r="J5" s="79">
        <v>0</v>
      </c>
      <c r="K5" s="80" t="s">
        <v>39</v>
      </c>
    </row>
    <row r="6" spans="1:11" x14ac:dyDescent="0.2">
      <c r="A6" s="81" t="s">
        <v>40</v>
      </c>
      <c r="B6" s="82">
        <v>7</v>
      </c>
      <c r="C6" s="83">
        <v>10</v>
      </c>
      <c r="D6" s="83">
        <f>SUM(B6:C6)</f>
        <v>17</v>
      </c>
      <c r="E6" s="84">
        <f>B6/D6</f>
        <v>0.41176470588235292</v>
      </c>
      <c r="F6" s="85">
        <v>0.34782608695652173</v>
      </c>
      <c r="G6" s="86">
        <v>0.375</v>
      </c>
      <c r="H6" s="36">
        <v>0.47</v>
      </c>
      <c r="I6" s="36">
        <v>0.39</v>
      </c>
      <c r="J6" s="36">
        <v>0.38</v>
      </c>
      <c r="K6" s="36">
        <v>0.26</v>
      </c>
    </row>
    <row r="7" spans="1:11" x14ac:dyDescent="0.2">
      <c r="A7" s="81" t="s">
        <v>41</v>
      </c>
      <c r="B7" s="87">
        <v>6</v>
      </c>
      <c r="C7" s="88">
        <v>3</v>
      </c>
      <c r="D7" s="88">
        <f>SUM(B7:C7)</f>
        <v>9</v>
      </c>
      <c r="E7" s="84">
        <f>B7/D7</f>
        <v>0.66666666666666663</v>
      </c>
      <c r="F7" s="85">
        <v>0.77777777777777779</v>
      </c>
      <c r="G7" s="86">
        <v>0.77777777777777779</v>
      </c>
      <c r="H7" s="36">
        <v>0.78</v>
      </c>
      <c r="I7" s="36">
        <v>0.65</v>
      </c>
      <c r="J7" s="36">
        <v>0.65</v>
      </c>
      <c r="K7" s="36">
        <v>0.63</v>
      </c>
    </row>
    <row r="8" spans="1:11" x14ac:dyDescent="0.2">
      <c r="A8" s="81" t="s">
        <v>42</v>
      </c>
      <c r="B8" s="87">
        <v>7</v>
      </c>
      <c r="C8" s="88">
        <v>8</v>
      </c>
      <c r="D8" s="88">
        <f>SUM(B8:C8)</f>
        <v>15</v>
      </c>
      <c r="E8" s="84">
        <f>B8/D8</f>
        <v>0.46666666666666667</v>
      </c>
      <c r="F8" s="85">
        <v>0.5</v>
      </c>
      <c r="G8" s="86">
        <v>0.5</v>
      </c>
      <c r="H8" s="36">
        <v>0.53</v>
      </c>
      <c r="I8" s="36">
        <v>0.43</v>
      </c>
      <c r="J8" s="36">
        <v>0.43</v>
      </c>
      <c r="K8" s="36">
        <v>0.5</v>
      </c>
    </row>
    <row r="9" spans="1:11" x14ac:dyDescent="0.2">
      <c r="A9" s="89" t="s">
        <v>43</v>
      </c>
      <c r="B9" s="90">
        <v>4</v>
      </c>
      <c r="C9" s="91">
        <v>6</v>
      </c>
      <c r="D9" s="91">
        <f>B9+C9</f>
        <v>10</v>
      </c>
      <c r="E9" s="92">
        <f>B9/D9</f>
        <v>0.4</v>
      </c>
      <c r="F9" s="93">
        <v>0.3</v>
      </c>
      <c r="G9" s="94">
        <v>0.33333333333333331</v>
      </c>
      <c r="H9" s="95">
        <v>0.22</v>
      </c>
      <c r="I9" s="95">
        <v>0.3</v>
      </c>
      <c r="J9" s="95">
        <v>0.2</v>
      </c>
      <c r="K9" s="95">
        <v>0.2</v>
      </c>
    </row>
    <row r="10" spans="1:11" x14ac:dyDescent="0.2">
      <c r="A10" s="20" t="s">
        <v>622</v>
      </c>
    </row>
    <row r="11" spans="1:11" x14ac:dyDescent="0.2">
      <c r="A11" s="20" t="s">
        <v>623</v>
      </c>
    </row>
    <row r="12" spans="1:11" x14ac:dyDescent="0.2">
      <c r="A12" s="20" t="s">
        <v>624</v>
      </c>
    </row>
    <row r="13" spans="1:11" x14ac:dyDescent="0.2">
      <c r="A13" s="20" t="s">
        <v>625</v>
      </c>
    </row>
    <row r="15" spans="1:11" x14ac:dyDescent="0.2">
      <c r="A15" s="20" t="s">
        <v>911</v>
      </c>
    </row>
    <row r="17" spans="1:1" x14ac:dyDescent="0.2">
      <c r="A17" s="68"/>
    </row>
  </sheetData>
  <mergeCells count="1">
    <mergeCell ref="B3:E3"/>
  </mergeCells>
  <pageMargins left="0.78749999999999998" right="0.78749999999999998" top="1.0249999999999999" bottom="1.0249999999999999" header="0.78749999999999998" footer="0.78749999999999998"/>
  <pageSetup paperSize="9" firstPageNumber="0" orientation="portrait" verticalDpi="0" r:id="rId1"/>
  <headerFooter>
    <oddHeader>&amp;C&amp;"Arial,Normal"&amp;10&amp;A</oddHeader>
    <oddFooter>&amp;C&amp;"Arial,Normal"&amp;10Page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workbookViewId="0">
      <selection activeCell="G14" sqref="G14"/>
    </sheetView>
  </sheetViews>
  <sheetFormatPr baseColWidth="10" defaultColWidth="9.140625" defaultRowHeight="11.25" x14ac:dyDescent="0.2"/>
  <cols>
    <col min="1" max="1" width="23.7109375" style="20" customWidth="1"/>
    <col min="2" max="5" width="9.140625" style="20"/>
    <col min="6" max="6" width="20.85546875" style="20" bestFit="1" customWidth="1"/>
    <col min="7" max="7" width="25.28515625" style="20" customWidth="1"/>
    <col min="8" max="11" width="25.7109375" style="20" customWidth="1"/>
    <col min="12" max="16384" width="9.140625" style="20"/>
  </cols>
  <sheetData>
    <row r="1" spans="1:11" x14ac:dyDescent="0.2">
      <c r="A1" s="19" t="s">
        <v>631</v>
      </c>
    </row>
    <row r="2" spans="1:11" x14ac:dyDescent="0.2">
      <c r="A2" s="19"/>
    </row>
    <row r="3" spans="1:11" x14ac:dyDescent="0.2">
      <c r="B3" s="711" t="s">
        <v>17</v>
      </c>
      <c r="C3" s="712"/>
      <c r="D3" s="712"/>
      <c r="E3" s="713"/>
      <c r="F3" s="69" t="s">
        <v>651</v>
      </c>
      <c r="G3" s="69" t="s">
        <v>652</v>
      </c>
      <c r="H3" s="69" t="s">
        <v>653</v>
      </c>
      <c r="I3" s="69" t="s">
        <v>654</v>
      </c>
      <c r="J3" s="69" t="s">
        <v>655</v>
      </c>
      <c r="K3" s="69" t="s">
        <v>656</v>
      </c>
    </row>
    <row r="4" spans="1:11" ht="22.5" x14ac:dyDescent="0.2">
      <c r="B4" s="51" t="s">
        <v>4</v>
      </c>
      <c r="C4" s="52" t="s">
        <v>5</v>
      </c>
      <c r="D4" s="52" t="s">
        <v>6</v>
      </c>
      <c r="E4" s="53" t="s">
        <v>7</v>
      </c>
      <c r="F4" s="54" t="s">
        <v>7</v>
      </c>
      <c r="G4" s="54" t="s">
        <v>7</v>
      </c>
      <c r="H4" s="54" t="s">
        <v>7</v>
      </c>
      <c r="I4" s="54" t="s">
        <v>7</v>
      </c>
      <c r="J4" s="54" t="s">
        <v>7</v>
      </c>
      <c r="K4" s="54" t="s">
        <v>7</v>
      </c>
    </row>
    <row r="5" spans="1:11" x14ac:dyDescent="0.2">
      <c r="A5" s="72" t="s">
        <v>38</v>
      </c>
      <c r="B5" s="73">
        <v>3</v>
      </c>
      <c r="C5" s="74">
        <v>1</v>
      </c>
      <c r="D5" s="74">
        <f>SUM(B5:C5)</f>
        <v>4</v>
      </c>
      <c r="E5" s="76">
        <f>B5/D5</f>
        <v>0.75</v>
      </c>
      <c r="F5" s="77">
        <v>0.8</v>
      </c>
      <c r="G5" s="78">
        <v>0.8</v>
      </c>
      <c r="H5" s="79">
        <v>0.6</v>
      </c>
      <c r="I5" s="79">
        <v>0.33</v>
      </c>
      <c r="J5" s="79">
        <v>0.17</v>
      </c>
      <c r="K5" s="79">
        <v>0.17</v>
      </c>
    </row>
    <row r="6" spans="1:11" x14ac:dyDescent="0.2">
      <c r="A6" s="81" t="s">
        <v>40</v>
      </c>
      <c r="B6" s="82">
        <v>3</v>
      </c>
      <c r="C6" s="83">
        <v>4</v>
      </c>
      <c r="D6" s="83">
        <f>SUM(B6:C6)</f>
        <v>7</v>
      </c>
      <c r="E6" s="84">
        <f>B6/D6</f>
        <v>0.42857142857142855</v>
      </c>
      <c r="F6" s="85">
        <v>0.42857142857142855</v>
      </c>
      <c r="G6" s="86">
        <v>0.42857142857142855</v>
      </c>
      <c r="H6" s="36">
        <v>0.43</v>
      </c>
      <c r="I6" s="36">
        <v>0.43</v>
      </c>
      <c r="J6" s="36">
        <v>0</v>
      </c>
      <c r="K6" s="36">
        <v>0</v>
      </c>
    </row>
    <row r="7" spans="1:11" x14ac:dyDescent="0.2">
      <c r="A7" s="89" t="s">
        <v>44</v>
      </c>
      <c r="B7" s="96">
        <v>2</v>
      </c>
      <c r="C7" s="97">
        <v>1</v>
      </c>
      <c r="D7" s="97">
        <f>SUM(B7:C7)</f>
        <v>3</v>
      </c>
      <c r="E7" s="92">
        <f>B7/D7</f>
        <v>0.66666666666666663</v>
      </c>
      <c r="F7" s="93">
        <v>0.66666666666666663</v>
      </c>
      <c r="G7" s="94">
        <v>0.66666666666666663</v>
      </c>
      <c r="H7" s="95">
        <v>0.67</v>
      </c>
      <c r="I7" s="95">
        <v>0.67</v>
      </c>
      <c r="J7" s="95">
        <v>0.67</v>
      </c>
      <c r="K7" s="98" t="s">
        <v>39</v>
      </c>
    </row>
    <row r="8" spans="1:11" x14ac:dyDescent="0.2">
      <c r="A8" s="20" t="s">
        <v>626</v>
      </c>
    </row>
    <row r="9" spans="1:11" x14ac:dyDescent="0.2">
      <c r="A9" s="20" t="s">
        <v>627</v>
      </c>
    </row>
    <row r="10" spans="1:11" x14ac:dyDescent="0.2">
      <c r="A10" s="20" t="s">
        <v>628</v>
      </c>
    </row>
    <row r="12" spans="1:11" x14ac:dyDescent="0.2">
      <c r="A12" s="20" t="s">
        <v>912</v>
      </c>
    </row>
    <row r="14" spans="1:11" x14ac:dyDescent="0.2">
      <c r="A14" s="68"/>
    </row>
  </sheetData>
  <mergeCells count="1">
    <mergeCell ref="B3:E3"/>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&amp;C&amp;"Arial,Normal"&amp;10&amp;A</oddHeader>
    <oddFooter>&amp;C&amp;"Arial,Normal"&amp;10Page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71</vt:i4>
      </vt:variant>
      <vt:variant>
        <vt:lpstr>Plages nommées</vt:lpstr>
      </vt:variant>
      <vt:variant>
        <vt:i4>2</vt:i4>
      </vt:variant>
    </vt:vector>
  </HeadingPairs>
  <TitlesOfParts>
    <vt:vector size="73" baseType="lpstr">
      <vt:lpstr>Tableau 1</vt:lpstr>
      <vt:lpstr>Tableau 2</vt:lpstr>
      <vt:lpstr>Tableau 3</vt:lpstr>
      <vt:lpstr>Tableau 4</vt:lpstr>
      <vt:lpstr>Tableau 5</vt:lpstr>
      <vt:lpstr>Tableau 6</vt:lpstr>
      <vt:lpstr>Tableau 7</vt:lpstr>
      <vt:lpstr>Tableau 8</vt:lpstr>
      <vt:lpstr>Tableau 9</vt:lpstr>
      <vt:lpstr>Tableau 10</vt:lpstr>
      <vt:lpstr>Tableau 11</vt:lpstr>
      <vt:lpstr>Tableau 12</vt:lpstr>
      <vt:lpstr>Tableau 13</vt:lpstr>
      <vt:lpstr>Tableau 14</vt:lpstr>
      <vt:lpstr>Tableau 15</vt:lpstr>
      <vt:lpstr>Tableau 16</vt:lpstr>
      <vt:lpstr>Tableau 17</vt:lpstr>
      <vt:lpstr>Tableau 18</vt:lpstr>
      <vt:lpstr>Tableau 19</vt:lpstr>
      <vt:lpstr>Tableau 20</vt:lpstr>
      <vt:lpstr>Tableau 21</vt:lpstr>
      <vt:lpstr>Tableau 22</vt:lpstr>
      <vt:lpstr>Tableau 23</vt:lpstr>
      <vt:lpstr>Tableau 24</vt:lpstr>
      <vt:lpstr>Tableau 25</vt:lpstr>
      <vt:lpstr>Tableau 26</vt:lpstr>
      <vt:lpstr>Tableau 27</vt:lpstr>
      <vt:lpstr>Tableau 28</vt:lpstr>
      <vt:lpstr>Tableau 29</vt:lpstr>
      <vt:lpstr>Tableau 30</vt:lpstr>
      <vt:lpstr>Tableau 31</vt:lpstr>
      <vt:lpstr>Tableau 32</vt:lpstr>
      <vt:lpstr>Tableau 33</vt:lpstr>
      <vt:lpstr>Tableau 34</vt:lpstr>
      <vt:lpstr>Tableau 35</vt:lpstr>
      <vt:lpstr>Tableau 35 bis</vt:lpstr>
      <vt:lpstr>Tableau 36</vt:lpstr>
      <vt:lpstr>Tableau 37</vt:lpstr>
      <vt:lpstr>Tableau 38</vt:lpstr>
      <vt:lpstr>Tableau 39</vt:lpstr>
      <vt:lpstr>Tableau 40</vt:lpstr>
      <vt:lpstr>Tableau 41</vt:lpstr>
      <vt:lpstr>Tableau 42</vt:lpstr>
      <vt:lpstr>Tableau 43</vt:lpstr>
      <vt:lpstr>Tableau 44</vt:lpstr>
      <vt:lpstr>Tableau 46</vt:lpstr>
      <vt:lpstr>Tableau 47</vt:lpstr>
      <vt:lpstr>Tableau 48</vt:lpstr>
      <vt:lpstr>Tableau 49</vt:lpstr>
      <vt:lpstr>Tableau 50</vt:lpstr>
      <vt:lpstr>Tableau 51</vt:lpstr>
      <vt:lpstr>Tableau 52</vt:lpstr>
      <vt:lpstr>Tableau 53</vt:lpstr>
      <vt:lpstr>Tableau 54</vt:lpstr>
      <vt:lpstr>Tableau 55</vt:lpstr>
      <vt:lpstr>Tableau 56</vt:lpstr>
      <vt:lpstr>Tableau 57</vt:lpstr>
      <vt:lpstr>Tableau 58</vt:lpstr>
      <vt:lpstr>Tableau 59</vt:lpstr>
      <vt:lpstr>Tableau 60</vt:lpstr>
      <vt:lpstr>Tableau 61</vt:lpstr>
      <vt:lpstr>Tableau 62</vt:lpstr>
      <vt:lpstr>Tableau 63</vt:lpstr>
      <vt:lpstr>Tableau 64</vt:lpstr>
      <vt:lpstr>Tableau 65</vt:lpstr>
      <vt:lpstr>Tableau 66</vt:lpstr>
      <vt:lpstr>Tableau_67</vt:lpstr>
      <vt:lpstr>Tableau 68</vt:lpstr>
      <vt:lpstr>Tableau 69</vt:lpstr>
      <vt:lpstr>Tableau 70</vt:lpstr>
      <vt:lpstr>Tableau 71</vt:lpstr>
      <vt:lpstr>'Tableau 40'!Zone_d_impression</vt:lpstr>
      <vt:lpstr>'Tableau 41'!Zone_d_impression</vt:lpstr>
    </vt:vector>
  </TitlesOfParts>
  <Company>Ministère de la 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laure.turner</dc:creator>
  <cp:lastModifiedBy>poissonnet poissonnet</cp:lastModifiedBy>
  <dcterms:created xsi:type="dcterms:W3CDTF">2019-02-15T10:50:00Z</dcterms:created>
  <dcterms:modified xsi:type="dcterms:W3CDTF">2019-03-22T09:54:08Z</dcterms:modified>
</cp:coreProperties>
</file>